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ud\Desktop\"/>
    </mc:Choice>
  </mc:AlternateContent>
  <xr:revisionPtr revIDLastSave="0" documentId="13_ncr:1_{BB4BAECB-B1CD-4BE4-9535-DFD705F45F1F}" xr6:coauthVersionLast="45" xr6:coauthVersionMax="45" xr10:uidLastSave="{00000000-0000-0000-0000-000000000000}"/>
  <bookViews>
    <workbookView xWindow="-108" yWindow="-108" windowWidth="23256" windowHeight="12576" activeTab="2" xr2:uid="{BA61A8CB-94C5-42F5-9643-1110123B02A4}"/>
  </bookViews>
  <sheets>
    <sheet name="FRONT" sheetId="4" r:id="rId1"/>
    <sheet name="CAL" sheetId="1" r:id="rId2"/>
    <sheet name="WASTE_DATA" sheetId="3" r:id="rId3"/>
    <sheet name="Product_AT" sheetId="5" r:id="rId4"/>
    <sheet name="Product_AN" sheetId="6" r:id="rId5"/>
    <sheet name="Product_GT" sheetId="7" r:id="rId6"/>
    <sheet name="Product_AP-AB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6" i="1" l="1"/>
  <c r="G6" i="1" s="1"/>
  <c r="F10" i="1" s="1"/>
  <c r="F9" i="1"/>
  <c r="F11" i="1" s="1"/>
  <c r="F13" i="1" s="1"/>
  <c r="H16" i="4" l="1"/>
  <c r="J39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5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20" i="5"/>
  <c r="F3" i="1" l="1"/>
  <c r="B29" i="4"/>
  <c r="B2" i="4"/>
  <c r="C45" i="5"/>
  <c r="C46" i="5"/>
  <c r="C47" i="5"/>
  <c r="C48" i="5"/>
  <c r="C49" i="5"/>
  <c r="C50" i="5"/>
  <c r="C51" i="5"/>
  <c r="C52" i="5"/>
  <c r="C53" i="5"/>
  <c r="C44" i="5"/>
  <c r="I16" i="4"/>
  <c r="I24" i="4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18" i="7"/>
  <c r="B57" i="7"/>
  <c r="B58" i="7"/>
  <c r="B59" i="7"/>
  <c r="B53" i="7"/>
  <c r="B54" i="7"/>
  <c r="B55" i="7"/>
  <c r="B56" i="7"/>
  <c r="B46" i="7"/>
  <c r="B47" i="7"/>
  <c r="B48" i="7"/>
  <c r="B49" i="7"/>
  <c r="B50" i="7"/>
  <c r="B51" i="7"/>
  <c r="B52" i="7"/>
  <c r="B39" i="7"/>
  <c r="B40" i="7"/>
  <c r="B41" i="7"/>
  <c r="B42" i="7"/>
  <c r="B43" i="7"/>
  <c r="B44" i="7"/>
  <c r="B45" i="7"/>
  <c r="B31" i="7"/>
  <c r="B32" i="7"/>
  <c r="B33" i="7"/>
  <c r="B34" i="7"/>
  <c r="B35" i="7"/>
  <c r="B36" i="7"/>
  <c r="B37" i="7"/>
  <c r="B38" i="7"/>
  <c r="B23" i="7"/>
  <c r="B24" i="7"/>
  <c r="B25" i="7"/>
  <c r="B26" i="7"/>
  <c r="B27" i="7"/>
  <c r="B28" i="7"/>
  <c r="B29" i="7"/>
  <c r="B30" i="7"/>
  <c r="B22" i="7"/>
  <c r="B21" i="7"/>
  <c r="B20" i="7"/>
  <c r="B19" i="7"/>
  <c r="B18" i="7"/>
  <c r="B17" i="7" l="1"/>
  <c r="B10" i="7"/>
  <c r="B6" i="7"/>
  <c r="B7" i="7"/>
  <c r="B8" i="7"/>
  <c r="B9" i="7"/>
  <c r="B11" i="7"/>
  <c r="B12" i="7"/>
  <c r="B13" i="7"/>
  <c r="B14" i="7"/>
  <c r="B15" i="7"/>
  <c r="B16" i="7"/>
  <c r="B5" i="7"/>
  <c r="G2" i="1" l="1"/>
  <c r="F4" i="1" s="1"/>
  <c r="D2" i="5"/>
  <c r="F34" i="6"/>
  <c r="F35" i="6" s="1"/>
  <c r="F30" i="6"/>
  <c r="F31" i="6" s="1"/>
  <c r="F26" i="6"/>
  <c r="F27" i="6" s="1"/>
  <c r="E26" i="6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F23" i="6"/>
  <c r="F24" i="6" s="1"/>
  <c r="E21" i="6"/>
  <c r="E22" i="6" s="1"/>
  <c r="E23" i="6" s="1"/>
  <c r="E24" i="6" s="1"/>
  <c r="E31" i="5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21" i="5"/>
  <c r="E22" i="5" s="1"/>
  <c r="E23" i="5" s="1"/>
  <c r="E24" i="5" s="1"/>
  <c r="E25" i="5" s="1"/>
  <c r="E26" i="5" s="1"/>
  <c r="E27" i="5" s="1"/>
  <c r="E28" i="5" s="1"/>
  <c r="E29" i="5" s="1"/>
  <c r="F15" i="1" l="1"/>
  <c r="F46" i="1" s="1"/>
  <c r="F28" i="6"/>
  <c r="F32" i="6"/>
  <c r="F48" i="1" l="1"/>
  <c r="F47" i="1"/>
  <c r="F24" i="1"/>
  <c r="F25" i="1"/>
  <c r="F7" i="1"/>
  <c r="H3" i="4"/>
  <c r="F16" i="1" l="1"/>
  <c r="F18" i="1" s="1"/>
  <c r="F19" i="1" s="1"/>
  <c r="F20" i="1" s="1"/>
  <c r="F32" i="1" s="1"/>
  <c r="H7" i="1"/>
  <c r="F23" i="1"/>
  <c r="F21" i="1" l="1"/>
  <c r="F33" i="1"/>
  <c r="F37" i="1"/>
  <c r="F36" i="1"/>
  <c r="F34" i="1"/>
  <c r="G16" i="4" s="1"/>
  <c r="F35" i="1"/>
  <c r="G11" i="4"/>
  <c r="F39" i="1" l="1"/>
  <c r="F42" i="1" s="1"/>
  <c r="G24" i="1"/>
  <c r="H13" i="4" s="1"/>
  <c r="G13" i="4"/>
  <c r="F13" i="4"/>
  <c r="F12" i="4"/>
  <c r="E12" i="4"/>
  <c r="E13" i="4"/>
  <c r="G25" i="4"/>
  <c r="F40" i="1" l="1"/>
  <c r="F41" i="1" s="1"/>
  <c r="H39" i="1"/>
  <c r="E17" i="4" s="1"/>
  <c r="H20" i="4" s="1"/>
  <c r="G15" i="4"/>
  <c r="G12" i="4"/>
  <c r="G48" i="1"/>
  <c r="H25" i="4" s="1"/>
  <c r="G24" i="4"/>
  <c r="F18" i="4" l="1"/>
  <c r="G18" i="4"/>
  <c r="E19" i="4"/>
  <c r="G19" i="4"/>
  <c r="H19" i="4"/>
  <c r="F19" i="4"/>
  <c r="F20" i="4"/>
  <c r="G41" i="1"/>
  <c r="E20" i="4"/>
  <c r="G20" i="4"/>
  <c r="E18" i="4"/>
  <c r="G19" i="9"/>
  <c r="G20" i="9"/>
  <c r="G24" i="9"/>
  <c r="G17" i="9"/>
  <c r="G26" i="9"/>
  <c r="G15" i="9"/>
  <c r="G18" i="9"/>
  <c r="G22" i="9"/>
  <c r="G23" i="9"/>
  <c r="G16" i="9"/>
  <c r="G25" i="9"/>
  <c r="G21" i="9"/>
</calcChain>
</file>

<file path=xl/sharedStrings.xml><?xml version="1.0" encoding="utf-8"?>
<sst xmlns="http://schemas.openxmlformats.org/spreadsheetml/2006/main" count="500" uniqueCount="224">
  <si>
    <t>BOD</t>
  </si>
  <si>
    <t>สำนักงาน</t>
  </si>
  <si>
    <t>โรงพยาบาล</t>
  </si>
  <si>
    <t>โรงแรม</t>
  </si>
  <si>
    <t>โรงเรียน</t>
  </si>
  <si>
    <t>โรงภาพยนต์</t>
  </si>
  <si>
    <t>ภัตตาคาร</t>
  </si>
  <si>
    <t>หอพัก</t>
  </si>
  <si>
    <t>ศูนย์การค้า</t>
  </si>
  <si>
    <t>ห้องปฏิบัติการ</t>
  </si>
  <si>
    <t>สนามบิน</t>
  </si>
  <si>
    <t>โรงอาหาร</t>
  </si>
  <si>
    <t>บ้านพักอาศัย</t>
  </si>
  <si>
    <t>เรือนจำ</t>
  </si>
  <si>
    <t>สโมสร</t>
  </si>
  <si>
    <t>ร้านกาแฟ</t>
  </si>
  <si>
    <t>ร้านตัดผม</t>
  </si>
  <si>
    <t>หอประชุม</t>
  </si>
  <si>
    <t>สถานีบริการน้ำมัน</t>
  </si>
  <si>
    <t>คน</t>
  </si>
  <si>
    <t>เตียง</t>
  </si>
  <si>
    <t>ห้อง</t>
  </si>
  <si>
    <t>ที่นั่ง</t>
  </si>
  <si>
    <t>รถ</t>
  </si>
  <si>
    <t>หน่วยต่อวัน</t>
  </si>
  <si>
    <t>ประเภทอาคาร</t>
  </si>
  <si>
    <t>ปริมาณน้ำเสีย</t>
  </si>
  <si>
    <t>=</t>
  </si>
  <si>
    <t>จำนวน</t>
  </si>
  <si>
    <t>รับน้ำเสียจาก</t>
  </si>
  <si>
    <t>ห้องครัว</t>
  </si>
  <si>
    <t>ถังดักไขมัน</t>
  </si>
  <si>
    <t>GT</t>
  </si>
  <si>
    <t>ไม่จำเป็น</t>
  </si>
  <si>
    <t>จำเป็น</t>
  </si>
  <si>
    <t>น้ำเสียรวม</t>
  </si>
  <si>
    <t>ห้องส้วม</t>
  </si>
  <si>
    <t>BOD ขาออก = 20 mg./l.</t>
  </si>
  <si>
    <t xml:space="preserve"> หรือ</t>
  </si>
  <si>
    <t>ถังเติมอากาศ</t>
  </si>
  <si>
    <t>BOD ขาออก = 60 mg./l.</t>
  </si>
  <si>
    <t>Q cmd</t>
  </si>
  <si>
    <t>MODEL</t>
  </si>
  <si>
    <t>Price</t>
  </si>
  <si>
    <r>
      <t xml:space="preserve">L(m.), </t>
    </r>
    <r>
      <rPr>
        <sz val="11"/>
        <color theme="1"/>
        <rFont val="Calibri"/>
        <family val="2"/>
      </rPr>
      <t xml:space="preserve">Ø </t>
    </r>
    <r>
      <rPr>
        <sz val="11"/>
        <color theme="1"/>
        <rFont val="Tahoma"/>
        <family val="2"/>
        <charset val="222"/>
      </rPr>
      <t>2.0 m.</t>
    </r>
  </si>
  <si>
    <r>
      <t>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</si>
  <si>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ST.Vol.(m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</si>
  <si>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FT.Vol.(m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</si>
  <si>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MD.Vol.(m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</si>
  <si>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SSA-2013Z</t>
  </si>
  <si>
    <t>SSA-2015Z</t>
  </si>
  <si>
    <t>SSA-2016Z</t>
  </si>
  <si>
    <t>SSA-2017Z</t>
  </si>
  <si>
    <t>SSA-2019Z</t>
  </si>
  <si>
    <t>SSA-2020Z</t>
  </si>
  <si>
    <t>SSA-2022Z</t>
  </si>
  <si>
    <t>SSA-2023Z</t>
  </si>
  <si>
    <t>SSA-2025Z</t>
  </si>
  <si>
    <t>SSA-2026Z</t>
  </si>
  <si>
    <t>SSA-2528Z</t>
  </si>
  <si>
    <t>SSA-2531Z</t>
  </si>
  <si>
    <t>SSA-2533Z</t>
  </si>
  <si>
    <t>SSA-2535Z</t>
  </si>
  <si>
    <t>SSA-2537Z</t>
  </si>
  <si>
    <t>SSA-2540Z</t>
  </si>
  <si>
    <t>SSA-2542Z</t>
  </si>
  <si>
    <t>SSA-2544Z</t>
  </si>
  <si>
    <t>SSA-2547Z</t>
  </si>
  <si>
    <t>SSA-2549Z</t>
  </si>
  <si>
    <t>SSA-2551Z</t>
  </si>
  <si>
    <t>SSA-2554Z</t>
  </si>
  <si>
    <t>SS-2014K</t>
  </si>
  <si>
    <t>SS-2016K</t>
  </si>
  <si>
    <t>SS-2017K</t>
  </si>
  <si>
    <t>SS-2019K</t>
  </si>
  <si>
    <t>SS-2020K</t>
  </si>
  <si>
    <t>SS-2521K</t>
  </si>
  <si>
    <t>SS-2524K</t>
  </si>
  <si>
    <t>SS-2526K</t>
  </si>
  <si>
    <t>SS-2528K</t>
  </si>
  <si>
    <t>SS-2530K</t>
  </si>
  <si>
    <t>SS-2533K</t>
  </si>
  <si>
    <t>SS-2535K</t>
  </si>
  <si>
    <t>SS-2537K</t>
  </si>
  <si>
    <t>SS-2540K</t>
  </si>
  <si>
    <t>SS-2542K</t>
  </si>
  <si>
    <t>SS-2544K</t>
  </si>
  <si>
    <t>SS-2547K</t>
  </si>
  <si>
    <t>SS-2549K</t>
  </si>
  <si>
    <t>SS-2551K</t>
  </si>
  <si>
    <t>SS-2554K</t>
  </si>
  <si>
    <t>FLOW</t>
  </si>
  <si>
    <t>7 - 26.5</t>
  </si>
  <si>
    <t xml:space="preserve">*ระบบเติมอากาศ น้ำเสียที่ออกจากระบบจะมีคุณภาพที่ดีกว่า และพื้นที่ใช้งานน้อยกว่าระบบไร้อากาศ แต่ต้องใช้ไฟฟ้า </t>
  </si>
  <si>
    <t>**ระบบไร้อากาศ น้ำเสียที่ออกจากระบบจะมีคุณภาพที่ด้อยกว่าระบบเติมอากาศ แต่ประหยัด และไม่ต้องดูแลรักษา</t>
  </si>
  <si>
    <t>SGT-S175</t>
  </si>
  <si>
    <t>SGT-S120</t>
  </si>
  <si>
    <t>SGT-S80</t>
  </si>
  <si>
    <t>SGT-S60</t>
  </si>
  <si>
    <t>SGT-S30</t>
  </si>
  <si>
    <t>แนะนำถังบำบัดน้ำเสีย</t>
  </si>
  <si>
    <t>หรือ</t>
  </si>
  <si>
    <t>ราคา</t>
  </si>
  <si>
    <t>รุ่น</t>
  </si>
  <si>
    <t>ถังบำบัดแบบเติมอากาศ รุ่น</t>
  </si>
  <si>
    <t>Vol.(Liters)</t>
  </si>
  <si>
    <t>SGT-1000</t>
  </si>
  <si>
    <t>SGT-2000</t>
  </si>
  <si>
    <t>SGT-3000</t>
  </si>
  <si>
    <t>SGT-4000</t>
  </si>
  <si>
    <t>SGT-5000</t>
  </si>
  <si>
    <t>SGT-6000</t>
  </si>
  <si>
    <t>SGT-7000</t>
  </si>
  <si>
    <t>SGT-8000</t>
  </si>
  <si>
    <t>SS-309</t>
  </si>
  <si>
    <t>SS-508</t>
  </si>
  <si>
    <t>SS-725</t>
  </si>
  <si>
    <t>SS-333</t>
  </si>
  <si>
    <t>SS-341</t>
  </si>
  <si>
    <t>SS-549</t>
  </si>
  <si>
    <t>SS-557</t>
  </si>
  <si>
    <t>SS-765</t>
  </si>
  <si>
    <t>SS-773</t>
  </si>
  <si>
    <t>SS-781</t>
  </si>
  <si>
    <t>SS-789</t>
  </si>
  <si>
    <t>SS-797</t>
  </si>
  <si>
    <t>SS-7105</t>
  </si>
  <si>
    <t>SS-7113</t>
  </si>
  <si>
    <t>SS-7121</t>
  </si>
  <si>
    <t>L(m.)</t>
  </si>
  <si>
    <t>SS-315A</t>
  </si>
  <si>
    <t>SS-527A</t>
  </si>
  <si>
    <t>SS-739A</t>
  </si>
  <si>
    <t>SS-751A</t>
  </si>
  <si>
    <t>SS-363A</t>
  </si>
  <si>
    <t>SS-375A</t>
  </si>
  <si>
    <t>SS-587A</t>
  </si>
  <si>
    <t>SS-7100A</t>
  </si>
  <si>
    <t>SS-7112A</t>
  </si>
  <si>
    <t>SS-5124A</t>
  </si>
  <si>
    <t>SS-5136A</t>
  </si>
  <si>
    <t>SS-7148A</t>
  </si>
  <si>
    <t>SS-7160A</t>
  </si>
  <si>
    <t>SS-7172A</t>
  </si>
  <si>
    <t>SS-7184A</t>
  </si>
  <si>
    <t>น้ำใช้</t>
  </si>
  <si>
    <t>ลบ.ม. ต่อวัน</t>
  </si>
  <si>
    <t>ลบ.ม.</t>
  </si>
  <si>
    <t>ถังบำบัดแบบไร้อากาศ รุ่น</t>
  </si>
  <si>
    <t>BCM-50E</t>
  </si>
  <si>
    <t>BCM-60E</t>
  </si>
  <si>
    <t>โรงงาน</t>
  </si>
  <si>
    <t>โรงอาหาร(คน)</t>
  </si>
  <si>
    <t>โรงอาหาร(ตารางเมตร)</t>
  </si>
  <si>
    <t>ตารางเมตร</t>
  </si>
  <si>
    <t>ตลาดสด</t>
  </si>
  <si>
    <t>วัด</t>
  </si>
  <si>
    <t>สวน</t>
  </si>
  <si>
    <t xml:space="preserve">คน </t>
  </si>
  <si>
    <t>ห้าง</t>
  </si>
  <si>
    <t>สำนักงาน(ตารางเมตร)</t>
  </si>
  <si>
    <t>สำนักงาน(คน)</t>
  </si>
  <si>
    <t>AP(cmm)</t>
  </si>
  <si>
    <t>BOD Loading</t>
  </si>
  <si>
    <t>kg/d</t>
  </si>
  <si>
    <t>Volumatic Loading(0.55-0.65)</t>
  </si>
  <si>
    <t>Volume Req.</t>
  </si>
  <si>
    <t>kg/d-cum</t>
  </si>
  <si>
    <t>HRT</t>
  </si>
  <si>
    <t>hr.</t>
  </si>
  <si>
    <t>cu.m.</t>
  </si>
  <si>
    <t>Select HRT</t>
  </si>
  <si>
    <t>เลือกถังบำบัดที่มีปริมาตร อย่างน้อย</t>
  </si>
  <si>
    <t>*เป็น BOD หลังผ่านGT และST</t>
  </si>
  <si>
    <t>*เป็น BOD หลังผ่านST</t>
  </si>
  <si>
    <t>*หากใช้กับน้ำเสียทีมีBODขาเข้ามากกว่า320 ต้องตามด้วยระบบเติมอากาศ</t>
  </si>
  <si>
    <t>AIR Req.</t>
  </si>
  <si>
    <t>AP-AB</t>
  </si>
  <si>
    <t>Air Pump</t>
  </si>
  <si>
    <t>ยี่ห้อ</t>
  </si>
  <si>
    <t>Secoh</t>
  </si>
  <si>
    <t>Air Flow</t>
  </si>
  <si>
    <t>Model</t>
  </si>
  <si>
    <t>SLL-40</t>
  </si>
  <si>
    <t>SLL-50</t>
  </si>
  <si>
    <t>EL-60</t>
  </si>
  <si>
    <t>EL-80</t>
  </si>
  <si>
    <t>EL-100</t>
  </si>
  <si>
    <t>EL-120W</t>
  </si>
  <si>
    <t>EL-150W</t>
  </si>
  <si>
    <t>EL-200W</t>
  </si>
  <si>
    <t>Air Blower</t>
  </si>
  <si>
    <t>Taiko</t>
  </si>
  <si>
    <t>cm.m.</t>
  </si>
  <si>
    <t>Air flow</t>
  </si>
  <si>
    <t>BOD 320</t>
  </si>
  <si>
    <t>cmm</t>
  </si>
  <si>
    <t>AP</t>
  </si>
  <si>
    <t>EL-120</t>
  </si>
  <si>
    <t>AP Qty.</t>
  </si>
  <si>
    <t>SSR-40T</t>
  </si>
  <si>
    <t>SSR-50</t>
  </si>
  <si>
    <t>SSR-60</t>
  </si>
  <si>
    <t>Air Pump/Blower Model</t>
  </si>
  <si>
    <t>ตัว</t>
  </si>
  <si>
    <t>Additonal Air Pump/Blower Req.</t>
  </si>
  <si>
    <t>Additonal Flow Req.</t>
  </si>
  <si>
    <t>kW</t>
  </si>
  <si>
    <t>*ราคาขาย ห้ามลด</t>
  </si>
  <si>
    <t>SSR-80</t>
  </si>
  <si>
    <t>เพิ่มราคา</t>
  </si>
  <si>
    <t>บาท</t>
  </si>
  <si>
    <t>&lt;&lt;&lt;&lt;กรอกข้อมูล เพียง 3 ช่องนี้</t>
  </si>
  <si>
    <t>ลูกค้ากำหนด BOD</t>
  </si>
  <si>
    <t>ถ้าลูกค้ากำหนด BOD</t>
  </si>
  <si>
    <t>mg/l</t>
  </si>
  <si>
    <t>ค่า BOD แนะนำ</t>
  </si>
  <si>
    <t>หมายเหตุ</t>
  </si>
  <si>
    <t>เลือกใช้ค่า BOD</t>
  </si>
  <si>
    <t>ถ้ามีครัว "จำเป็น"</t>
  </si>
  <si>
    <t>&lt;&lt;&lt;&lt;ระบุ หรือไม่ก็ได้</t>
  </si>
  <si>
    <t>น้ำครัว</t>
  </si>
  <si>
    <t>น้ำส้วม</t>
  </si>
  <si>
    <t>การุณาติดต่อเพิ่มสอบถามข้อมูลเพิ่มเติม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</si>
</sst>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ahoma"/>
      <family val="2"/>
      <charset val="22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43" fontId="0" fillId="0" borderId="0" xfId="0" applyNumberFormat="1"/>
    <xf numFmtId="0" fontId="2" fillId="0" borderId="0" xfId="0" applyFont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5" fontId="0" fillId="4" borderId="6" xfId="1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0" fillId="4" borderId="9" xfId="1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65" fontId="0" fillId="4" borderId="20" xfId="1" applyNumberFormat="1" applyFont="1" applyFill="1" applyBorder="1" applyAlignment="1">
      <alignment horizontal="center" vertical="center"/>
    </xf>
    <xf numFmtId="2" fontId="0" fillId="4" borderId="20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5" fontId="0" fillId="4" borderId="15" xfId="1" applyNumberFormat="1" applyFont="1" applyFill="1" applyBorder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5" fontId="0" fillId="5" borderId="6" xfId="1" applyNumberFormat="1" applyFon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65" fontId="0" fillId="5" borderId="9" xfId="1" applyNumberFormat="1" applyFon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5" borderId="10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65" fontId="0" fillId="5" borderId="20" xfId="1" applyNumberFormat="1" applyFont="1" applyFill="1" applyBorder="1" applyAlignment="1">
      <alignment horizontal="center" vertical="center"/>
    </xf>
    <xf numFmtId="2" fontId="0" fillId="5" borderId="20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65" fontId="0" fillId="5" borderId="12" xfId="1" applyNumberFormat="1" applyFon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0" fillId="3" borderId="21" xfId="0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6" fillId="0" borderId="0" xfId="0" applyFont="1"/>
    <xf numFmtId="0" fontId="6" fillId="6" borderId="0" xfId="0" applyFont="1" applyFill="1"/>
    <xf numFmtId="0" fontId="6" fillId="6" borderId="22" xfId="0" applyFont="1" applyFill="1" applyBorder="1"/>
    <xf numFmtId="0" fontId="6" fillId="8" borderId="0" xfId="0" applyFont="1" applyFill="1"/>
    <xf numFmtId="0" fontId="6" fillId="8" borderId="22" xfId="0" applyFont="1" applyFill="1" applyBorder="1"/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165" fontId="0" fillId="9" borderId="6" xfId="1" applyNumberFormat="1" applyFont="1" applyFill="1" applyBorder="1" applyAlignment="1">
      <alignment horizontal="center" vertical="center"/>
    </xf>
    <xf numFmtId="2" fontId="0" fillId="9" borderId="6" xfId="0" applyNumberForma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165" fontId="0" fillId="9" borderId="15" xfId="1" applyNumberFormat="1" applyFont="1" applyFill="1" applyBorder="1" applyAlignment="1">
      <alignment horizontal="center" vertical="center"/>
    </xf>
    <xf numFmtId="2" fontId="0" fillId="9" borderId="15" xfId="0" applyNumberFormat="1" applyFill="1" applyBorder="1" applyAlignment="1">
      <alignment horizontal="center" vertical="center"/>
    </xf>
    <xf numFmtId="2" fontId="0" fillId="9" borderId="5" xfId="0" applyNumberFormat="1" applyFill="1" applyBorder="1" applyAlignment="1">
      <alignment horizontal="center" vertical="center"/>
    </xf>
    <xf numFmtId="2" fontId="0" fillId="9" borderId="14" xfId="0" applyNumberFormat="1" applyFill="1" applyBorder="1" applyAlignment="1">
      <alignment horizontal="center" vertical="center"/>
    </xf>
    <xf numFmtId="1" fontId="0" fillId="4" borderId="25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6" fillId="0" borderId="29" xfId="0" applyFont="1" applyFill="1" applyBorder="1"/>
    <xf numFmtId="0" fontId="0" fillId="0" borderId="28" xfId="0" applyFont="1" applyFill="1" applyBorder="1" applyAlignment="1">
      <alignment horizontal="right"/>
    </xf>
    <xf numFmtId="0" fontId="0" fillId="0" borderId="28" xfId="0" applyFill="1" applyBorder="1" applyAlignment="1">
      <alignment horizontal="right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28" xfId="0" applyBorder="1"/>
    <xf numFmtId="0" fontId="0" fillId="0" borderId="34" xfId="0" applyBorder="1"/>
    <xf numFmtId="164" fontId="0" fillId="0" borderId="1" xfId="1" applyNumberFormat="1" applyFont="1" applyBorder="1"/>
    <xf numFmtId="0" fontId="0" fillId="0" borderId="29" xfId="0" applyBorder="1"/>
    <xf numFmtId="0" fontId="0" fillId="7" borderId="26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165" fontId="0" fillId="7" borderId="27" xfId="1" applyNumberFormat="1" applyFont="1" applyFill="1" applyBorder="1" applyAlignment="1">
      <alignment horizontal="center" vertical="center"/>
    </xf>
    <xf numFmtId="0" fontId="0" fillId="7" borderId="0" xfId="0" applyFill="1"/>
    <xf numFmtId="0" fontId="2" fillId="4" borderId="2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right"/>
    </xf>
    <xf numFmtId="0" fontId="0" fillId="9" borderId="23" xfId="0" applyFont="1" applyFill="1" applyBorder="1" applyAlignment="1">
      <alignment horizontal="right"/>
    </xf>
    <xf numFmtId="0" fontId="0" fillId="9" borderId="24" xfId="0" applyFon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0" fontId="0" fillId="0" borderId="37" xfId="0" applyFill="1" applyBorder="1" applyAlignment="1">
      <alignment horizontal="right"/>
    </xf>
    <xf numFmtId="0" fontId="8" fillId="10" borderId="23" xfId="0" applyFont="1" applyFill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8" fillId="10" borderId="38" xfId="0" applyFont="1" applyFill="1" applyBorder="1" applyAlignment="1">
      <alignment horizontal="right"/>
    </xf>
    <xf numFmtId="0" fontId="0" fillId="3" borderId="33" xfId="0" applyFill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0" fontId="0" fillId="0" borderId="39" xfId="0" applyBorder="1"/>
    <xf numFmtId="0" fontId="9" fillId="0" borderId="0" xfId="0" applyFont="1" applyFill="1"/>
    <xf numFmtId="2" fontId="0" fillId="9" borderId="28" xfId="0" applyNumberFormat="1" applyFill="1" applyBorder="1" applyAlignment="1">
      <alignment horizontal="center" vertical="center"/>
    </xf>
    <xf numFmtId="2" fontId="0" fillId="9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2" fontId="0" fillId="0" borderId="0" xfId="0" applyNumberFormat="1" applyBorder="1"/>
    <xf numFmtId="2" fontId="0" fillId="0" borderId="1" xfId="0" applyNumberFormat="1" applyBorder="1"/>
    <xf numFmtId="2" fontId="0" fillId="0" borderId="30" xfId="0" applyNumberFormat="1" applyBorder="1"/>
    <xf numFmtId="2" fontId="0" fillId="0" borderId="33" xfId="0" applyNumberFormat="1" applyBorder="1"/>
    <xf numFmtId="2" fontId="0" fillId="0" borderId="34" xfId="0" applyNumberFormat="1" applyBorder="1"/>
    <xf numFmtId="43" fontId="0" fillId="0" borderId="0" xfId="1" applyNumberFormat="1" applyFont="1"/>
    <xf numFmtId="0" fontId="0" fillId="3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" fillId="0" borderId="33" xfId="0" applyFont="1" applyBorder="1"/>
    <xf numFmtId="43" fontId="0" fillId="0" borderId="1" xfId="0" applyNumberFormat="1" applyBorder="1"/>
    <xf numFmtId="0" fontId="8" fillId="11" borderId="23" xfId="0" applyFont="1" applyFill="1" applyBorder="1" applyAlignment="1">
      <alignment horizontal="right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numFmt numFmtId="164" formatCode="_(* #,##0_);_(* \(#,##0\);_(* &quot;-&quot;??_);_(@_)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 Light"/>
        <family val="2"/>
        <scheme val="maj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F30D09-B531-44AB-9835-6165F77EA88D}" name="Table1" displayName="Table1" ref="B2:D27" totalsRowShown="0" tableBorderDxfId="8">
  <autoFilter ref="B2:D27" xr:uid="{992399FC-C29F-49D0-B323-7B13DDEBB23E}"/>
  <sortState xmlns:xlrd2="http://schemas.microsoft.com/office/spreadsheetml/2017/richdata2" ref="B3:D27">
    <sortCondition ref="B2:B27"/>
  </sortState>
  <tableColumns count="3">
    <tableColumn id="1" xr3:uid="{C2BDE3AC-FB56-4E89-9BB0-734E874E6925}" name="ประเภทอาคาร" dataDxfId="7"/>
    <tableColumn id="2" xr3:uid="{C08FDC64-811D-410F-9107-11FAC16A811F}" name="หน่วยต่อวัน" dataDxfId="6"/>
    <tableColumn id="3" xr3:uid="{9FC6464F-7056-4AE1-91A6-B7CB889B6C29}" name="ปริมาณน้ำเสีย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F6075C-202A-4F66-8EDF-5573B57BCB50}" name="Table2" displayName="Table2" ref="B29:E32" totalsRowShown="0" tableBorderDxfId="5">
  <autoFilter ref="B29:E32" xr:uid="{26418F5F-644C-4F68-BD4B-620C968FED7C}"/>
  <tableColumns count="4">
    <tableColumn id="1" xr3:uid="{009A4349-CF41-4247-98EA-397E1049ACAF}" name="รับน้ำเสียจาก" dataDxfId="4"/>
    <tableColumn id="2" xr3:uid="{5419AF9B-8424-4A65-8771-15CD1F8534DA}" name="BOD"/>
    <tableColumn id="3" xr3:uid="{7D77363F-9C19-4062-BA89-A33BADC85C86}" name="GT"/>
    <tableColumn id="4" xr3:uid="{15363F4F-2A4D-4AA5-92EA-0D633C2BB76C}" name="หมายเหตุ" dataDxfId="3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623753-B3FD-4E3E-A9EA-D54BB93CF881}" name="Table14" displayName="Table14" ref="B2:G27" totalsRowShown="0">
  <autoFilter ref="B2:G27" xr:uid="{992399FC-C29F-49D0-B323-7B13DDEBB23E}"/>
  <sortState xmlns:xlrd2="http://schemas.microsoft.com/office/spreadsheetml/2017/richdata2" ref="B3:D26">
    <sortCondition ref="B2:B26"/>
  </sortState>
  <tableColumns count="6">
    <tableColumn id="1" xr3:uid="{E43511CE-8F7C-4513-A427-963EDB3B9E82}" name="AP-AB" dataDxfId="2"/>
    <tableColumn id="2" xr3:uid="{A2399EB8-63FF-490C-8F4E-4927309A46E6}" name="Model" dataDxfId="1"/>
    <tableColumn id="3" xr3:uid="{2D22CA07-034F-4627-9F39-34B2B24CCA63}" name="ยี่ห้อ"/>
    <tableColumn id="4" xr3:uid="{99CAEFE1-FDDF-4FF5-82D8-7D30E8F0C589}" name="Air Flow"/>
    <tableColumn id="7" xr3:uid="{EF954DA1-418F-4DAC-916A-0A0F576D8595}" name="kW"/>
    <tableColumn id="8" xr3:uid="{67BBDB51-BC01-4C9E-945D-8F02DE343D4C}" name="Price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8300-2304-4A8B-8D8E-0AFA54AF53A2}">
  <dimension ref="B1:K32"/>
  <sheetViews>
    <sheetView workbookViewId="0">
      <selection activeCell="G4" sqref="G4"/>
    </sheetView>
  </sheetViews>
  <sheetFormatPr defaultRowHeight="14.4" x14ac:dyDescent="0.3"/>
  <cols>
    <col min="1" max="1" width="2.21875" customWidth="1"/>
    <col min="2" max="2" width="19.77734375" bestFit="1" customWidth="1"/>
    <col min="3" max="3" width="2.6640625" customWidth="1"/>
    <col min="5" max="5" width="25.109375" bestFit="1" customWidth="1"/>
    <col min="6" max="6" width="2" bestFit="1" customWidth="1"/>
    <col min="7" max="7" width="11.109375" bestFit="1" customWidth="1"/>
    <col min="8" max="8" width="10.109375" bestFit="1" customWidth="1"/>
    <col min="9" max="9" width="8.88671875" customWidth="1"/>
    <col min="11" max="11" width="8.88671875" customWidth="1"/>
  </cols>
  <sheetData>
    <row r="1" spans="2:11" ht="15" thickBot="1" x14ac:dyDescent="0.35"/>
    <row r="2" spans="2:11" x14ac:dyDescent="0.3">
      <c r="B2" s="65" t="str">
        <f>CAL!B2</f>
        <v>ประเภทอาคาร</v>
      </c>
      <c r="E2" s="64" t="s">
        <v>25</v>
      </c>
      <c r="F2" t="s">
        <v>27</v>
      </c>
      <c r="G2" s="108" t="s">
        <v>12</v>
      </c>
      <c r="I2" s="139" t="s">
        <v>212</v>
      </c>
      <c r="J2" s="139"/>
      <c r="K2" s="139"/>
    </row>
    <row r="3" spans="2:11" x14ac:dyDescent="0.3">
      <c r="B3" s="107" t="s">
        <v>13</v>
      </c>
      <c r="E3" s="63" t="s">
        <v>28</v>
      </c>
      <c r="F3" t="s">
        <v>27</v>
      </c>
      <c r="G3" s="3">
        <v>10</v>
      </c>
      <c r="H3" t="str">
        <f>CAL!F4</f>
        <v>คน</v>
      </c>
      <c r="I3" s="139"/>
      <c r="J3" s="139"/>
      <c r="K3" s="139"/>
    </row>
    <row r="4" spans="2:11" x14ac:dyDescent="0.3">
      <c r="B4" s="108" t="s">
        <v>4</v>
      </c>
      <c r="E4" s="66" t="s">
        <v>29</v>
      </c>
      <c r="F4" t="s">
        <v>27</v>
      </c>
      <c r="G4" s="3" t="s">
        <v>221</v>
      </c>
      <c r="I4" s="139"/>
      <c r="J4" s="139"/>
      <c r="K4" s="139"/>
    </row>
    <row r="5" spans="2:11" x14ac:dyDescent="0.3">
      <c r="B5" s="107" t="s">
        <v>3</v>
      </c>
      <c r="G5" s="5"/>
    </row>
    <row r="6" spans="2:11" x14ac:dyDescent="0.3">
      <c r="B6" s="108" t="s">
        <v>151</v>
      </c>
      <c r="E6" s="6" t="s">
        <v>214</v>
      </c>
      <c r="F6" s="6" t="s">
        <v>27</v>
      </c>
      <c r="G6" s="132">
        <v>0</v>
      </c>
      <c r="H6" t="s">
        <v>215</v>
      </c>
      <c r="I6" s="6" t="s">
        <v>220</v>
      </c>
    </row>
    <row r="7" spans="2:11" x14ac:dyDescent="0.3">
      <c r="B7" s="107" t="s">
        <v>2</v>
      </c>
      <c r="G7" s="5"/>
    </row>
    <row r="8" spans="2:11" x14ac:dyDescent="0.3">
      <c r="B8" s="108" t="s">
        <v>5</v>
      </c>
      <c r="G8" s="5"/>
    </row>
    <row r="9" spans="2:11" x14ac:dyDescent="0.3">
      <c r="B9" s="107" t="s">
        <v>152</v>
      </c>
      <c r="E9" t="s">
        <v>100</v>
      </c>
      <c r="G9" s="5"/>
    </row>
    <row r="10" spans="2:11" x14ac:dyDescent="0.3">
      <c r="B10" s="108" t="s">
        <v>153</v>
      </c>
    </row>
    <row r="11" spans="2:11" x14ac:dyDescent="0.3">
      <c r="B11" s="107" t="s">
        <v>155</v>
      </c>
      <c r="E11" t="s">
        <v>31</v>
      </c>
      <c r="F11" t="s">
        <v>27</v>
      </c>
      <c r="G11" t="str">
        <f>CAL!F23</f>
        <v>จำเป็น</v>
      </c>
    </row>
    <row r="12" spans="2:11" x14ac:dyDescent="0.3">
      <c r="B12" s="108" t="s">
        <v>12</v>
      </c>
      <c r="E12" t="str">
        <f>IF(G11="จำเป็น","ถังดักไขมัน รุ่น","-")</f>
        <v>ถังดักไขมัน รุ่น</v>
      </c>
      <c r="F12" t="str">
        <f>IF(G11="จำเป็น","=","-")</f>
        <v>=</v>
      </c>
      <c r="G12" t="str">
        <f>CAL!F24</f>
        <v>SGT-1000</v>
      </c>
    </row>
    <row r="13" spans="2:11" x14ac:dyDescent="0.3">
      <c r="B13" s="107" t="s">
        <v>6</v>
      </c>
      <c r="E13" t="str">
        <f>IF(G11="จำเป็น","ราคา","-")</f>
        <v>ราคา</v>
      </c>
      <c r="F13" t="str">
        <f>IF(G11="จำเป็น","=","-")</f>
        <v>=</v>
      </c>
      <c r="G13" s="1">
        <f>CAL!F25</f>
        <v>19500</v>
      </c>
      <c r="H13" t="str">
        <f>CAL!G24</f>
        <v>บาท</v>
      </c>
    </row>
    <row r="14" spans="2:11" x14ac:dyDescent="0.3">
      <c r="B14" s="108" t="s">
        <v>15</v>
      </c>
    </row>
    <row r="15" spans="2:11" x14ac:dyDescent="0.3">
      <c r="B15" s="107" t="s">
        <v>16</v>
      </c>
      <c r="E15" s="85" t="s">
        <v>104</v>
      </c>
      <c r="F15" s="86" t="s">
        <v>27</v>
      </c>
      <c r="G15" s="86" t="str">
        <f>CAL!F33</f>
        <v>SS-751A</v>
      </c>
      <c r="H15" s="87"/>
    </row>
    <row r="16" spans="2:11" x14ac:dyDescent="0.3">
      <c r="B16" s="108" t="s">
        <v>156</v>
      </c>
      <c r="E16" s="88" t="s">
        <v>102</v>
      </c>
      <c r="F16" s="89" t="s">
        <v>27</v>
      </c>
      <c r="G16" s="90">
        <f>CAL!F34</f>
        <v>82000</v>
      </c>
      <c r="H16" s="91" t="str">
        <f>CAL!G34</f>
        <v>บาท</v>
      </c>
      <c r="I16" s="140" t="str">
        <f>CAL!H32</f>
        <v>BOD ขาออก = 20 mg./l.</v>
      </c>
      <c r="J16" s="141"/>
      <c r="K16" s="141"/>
    </row>
    <row r="17" spans="2:11" x14ac:dyDescent="0.3">
      <c r="B17" s="107" t="s">
        <v>8</v>
      </c>
      <c r="E17" s="130" t="str">
        <f>CAL!H39</f>
        <v>ต้องเพิ่ม Air Pump/Blower</v>
      </c>
      <c r="F17" s="89"/>
      <c r="G17" s="90"/>
      <c r="H17" s="91"/>
    </row>
    <row r="18" spans="2:11" x14ac:dyDescent="0.3">
      <c r="B18" s="108" t="s">
        <v>14</v>
      </c>
      <c r="E18" s="88" t="str">
        <f>IF(E17="ต้องเพิ่ม Air Pump/Blower","Model","-")</f>
        <v>Model</v>
      </c>
      <c r="F18" s="89" t="str">
        <f>IF(E17="ต้องเพิ่ม Air Pump/Blower","=","-")</f>
        <v>=</v>
      </c>
      <c r="G18" s="90" t="str">
        <f>IF(E17="ต้องเพิ่ม Air Pump/Blower",CAL!F40,"-")</f>
        <v>EL-60</v>
      </c>
      <c r="H18" s="91"/>
    </row>
    <row r="19" spans="2:11" x14ac:dyDescent="0.3">
      <c r="B19" s="107" t="s">
        <v>18</v>
      </c>
      <c r="E19" s="88" t="str">
        <f>IF(E17="ต้องเพิ่ม Air Pump/Blower","จำนวน","-")</f>
        <v>จำนวน</v>
      </c>
      <c r="F19" s="89" t="str">
        <f>IF(E17="ต้องเพิ่ม Air Pump/Blower","=","-")</f>
        <v>=</v>
      </c>
      <c r="G19" s="90">
        <f>IF(E17="ต้องเพิ่ม Air Pump/Blower",CAL!F41,"-")</f>
        <v>1</v>
      </c>
      <c r="H19" s="91" t="str">
        <f>IF(E17="ต้องเพิ่ม Air Pump/Blower","ตัว","-")</f>
        <v>ตัว</v>
      </c>
    </row>
    <row r="20" spans="2:11" x14ac:dyDescent="0.3">
      <c r="B20" s="108" t="s">
        <v>10</v>
      </c>
      <c r="E20" s="88" t="str">
        <f>IF(E17="ต้องเพิ่ม Air Pump/Blower","เพิ่มราคาอีก","")</f>
        <v>เพิ่มราคาอีก</v>
      </c>
      <c r="F20" s="89" t="str">
        <f>IF(E17="ต้องเพิ่ม Air Pump/Blower","=","-")</f>
        <v>=</v>
      </c>
      <c r="G20" s="90">
        <f>IF(E17="ต้องเพิ่ม Air Pump/Blower",CAL!F42,"-")</f>
        <v>5000</v>
      </c>
      <c r="H20" s="91" t="str">
        <f>IF(E17="ต้องเพิ่ม Air Pump/Blower","บาท","-")</f>
        <v>บาท</v>
      </c>
    </row>
    <row r="21" spans="2:11" x14ac:dyDescent="0.3">
      <c r="B21" s="107" t="s">
        <v>157</v>
      </c>
      <c r="E21" s="88"/>
      <c r="F21" s="89"/>
      <c r="G21" s="90"/>
      <c r="H21" s="91"/>
    </row>
    <row r="22" spans="2:11" x14ac:dyDescent="0.3">
      <c r="B22" s="108" t="s">
        <v>161</v>
      </c>
      <c r="E22" s="133" t="s">
        <v>101</v>
      </c>
      <c r="F22" s="134"/>
      <c r="G22" s="134"/>
      <c r="H22" s="135"/>
    </row>
    <row r="23" spans="2:11" x14ac:dyDescent="0.3">
      <c r="B23" s="107" t="s">
        <v>160</v>
      </c>
      <c r="E23" s="136"/>
      <c r="F23" s="137"/>
      <c r="G23" s="137"/>
      <c r="H23" s="138"/>
    </row>
    <row r="24" spans="2:11" x14ac:dyDescent="0.3">
      <c r="B24" s="108" t="s">
        <v>9</v>
      </c>
      <c r="E24" s="88" t="s">
        <v>148</v>
      </c>
      <c r="F24" s="89" t="s">
        <v>27</v>
      </c>
      <c r="G24" s="89" t="str">
        <f>CAL!F47</f>
        <v>SS-333</v>
      </c>
      <c r="H24" s="91"/>
      <c r="I24" s="140" t="str">
        <f>CAL!H46</f>
        <v>BOD ขาออก = 60 mg./l.</v>
      </c>
      <c r="J24" s="141"/>
      <c r="K24" s="141"/>
    </row>
    <row r="25" spans="2:11" x14ac:dyDescent="0.3">
      <c r="B25" s="107" t="s">
        <v>17</v>
      </c>
      <c r="E25" s="92" t="s">
        <v>102</v>
      </c>
      <c r="F25" s="2" t="s">
        <v>27</v>
      </c>
      <c r="G25" s="93">
        <f>CAL!F48</f>
        <v>52000</v>
      </c>
      <c r="H25" s="94" t="str">
        <f>CAL!G48</f>
        <v>บาท</v>
      </c>
    </row>
    <row r="26" spans="2:11" x14ac:dyDescent="0.3">
      <c r="B26" s="108" t="s">
        <v>7</v>
      </c>
    </row>
    <row r="27" spans="2:11" x14ac:dyDescent="0.3">
      <c r="B27" s="109" t="s">
        <v>159</v>
      </c>
      <c r="E27" s="6" t="s">
        <v>93</v>
      </c>
    </row>
    <row r="28" spans="2:11" ht="15" thickBot="1" x14ac:dyDescent="0.35">
      <c r="E28" s="6" t="s">
        <v>94</v>
      </c>
    </row>
    <row r="29" spans="2:11" x14ac:dyDescent="0.3">
      <c r="B29" s="67" t="str">
        <f>CAL!B22</f>
        <v>รับน้ำเสียจาก</v>
      </c>
    </row>
    <row r="30" spans="2:11" x14ac:dyDescent="0.3">
      <c r="B30" s="103" t="s">
        <v>221</v>
      </c>
    </row>
    <row r="31" spans="2:11" x14ac:dyDescent="0.3">
      <c r="B31" s="103" t="s">
        <v>222</v>
      </c>
    </row>
    <row r="32" spans="2:11" ht="15" thickBot="1" x14ac:dyDescent="0.35">
      <c r="B32" s="104" t="s">
        <v>35</v>
      </c>
    </row>
  </sheetData>
  <mergeCells count="4">
    <mergeCell ref="E22:H23"/>
    <mergeCell ref="I2:K4"/>
    <mergeCell ref="I16:K16"/>
    <mergeCell ref="I24:K2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B115-96CB-4135-90B4-6FFD665EA330}">
  <dimension ref="B2:H48"/>
  <sheetViews>
    <sheetView workbookViewId="0">
      <selection activeCell="F3" sqref="F3"/>
    </sheetView>
  </sheetViews>
  <sheetFormatPr defaultRowHeight="14.4" x14ac:dyDescent="0.3"/>
  <cols>
    <col min="1" max="1" width="2.6640625" customWidth="1"/>
    <col min="2" max="2" width="15.6640625" style="80" bestFit="1" customWidth="1"/>
    <col min="3" max="3" width="2.6640625" customWidth="1"/>
    <col min="4" max="4" width="32.21875" bestFit="1" customWidth="1"/>
    <col min="5" max="5" width="2" bestFit="1" customWidth="1"/>
    <col min="6" max="6" width="10.5546875" bestFit="1" customWidth="1"/>
    <col min="7" max="7" width="10.88671875" bestFit="1" customWidth="1"/>
    <col min="8" max="8" width="25" bestFit="1" customWidth="1"/>
  </cols>
  <sheetData>
    <row r="2" spans="2:8" x14ac:dyDescent="0.3">
      <c r="B2" s="82" t="s">
        <v>25</v>
      </c>
      <c r="D2" t="s">
        <v>25</v>
      </c>
      <c r="E2" t="s">
        <v>27</v>
      </c>
      <c r="F2" s="3" t="str">
        <f>FRONT!G2</f>
        <v>บ้านพักอาศัย</v>
      </c>
      <c r="G2" t="str">
        <f>TRIM(F2)</f>
        <v>บ้านพักอาศัย</v>
      </c>
    </row>
    <row r="3" spans="2:8" x14ac:dyDescent="0.3">
      <c r="B3" s="83" t="s">
        <v>1</v>
      </c>
      <c r="D3" t="s">
        <v>28</v>
      </c>
      <c r="E3" t="s">
        <v>27</v>
      </c>
      <c r="F3" s="3">
        <f>FRONT!G3</f>
        <v>10</v>
      </c>
    </row>
    <row r="4" spans="2:8" x14ac:dyDescent="0.3">
      <c r="B4" s="83" t="s">
        <v>2</v>
      </c>
      <c r="D4" t="s">
        <v>24</v>
      </c>
      <c r="E4" t="s">
        <v>27</v>
      </c>
      <c r="F4" t="str">
        <f>VLOOKUP(G2,Table1[#All],2,0)</f>
        <v>คน</v>
      </c>
    </row>
    <row r="5" spans="2:8" x14ac:dyDescent="0.3">
      <c r="B5" s="83" t="s">
        <v>3</v>
      </c>
    </row>
    <row r="6" spans="2:8" x14ac:dyDescent="0.3">
      <c r="B6" s="83" t="s">
        <v>4</v>
      </c>
      <c r="D6" t="s">
        <v>29</v>
      </c>
      <c r="E6" t="s">
        <v>27</v>
      </c>
      <c r="F6" s="3" t="str">
        <f>+FRONT!G4</f>
        <v>น้ำครัว</v>
      </c>
      <c r="G6" t="str">
        <f>TRIM(F6)</f>
        <v>น้ำครัว</v>
      </c>
    </row>
    <row r="7" spans="2:8" x14ac:dyDescent="0.3">
      <c r="B7" s="83" t="s">
        <v>5</v>
      </c>
      <c r="D7" t="s">
        <v>216</v>
      </c>
      <c r="E7" t="s">
        <v>27</v>
      </c>
      <c r="F7">
        <f>VLOOKUP(G6,WASTE_DATA!B29:D32,2,0)</f>
        <v>588</v>
      </c>
      <c r="G7" t="s">
        <v>215</v>
      </c>
      <c r="H7" s="6" t="str">
        <f>VLOOKUP(G6,WASTE_DATA!B29:E32,4,0)</f>
        <v>*เป็น BOD หลังผ่านGT และST</v>
      </c>
    </row>
    <row r="8" spans="2:8" x14ac:dyDescent="0.3">
      <c r="B8" s="83" t="s">
        <v>6</v>
      </c>
    </row>
    <row r="9" spans="2:8" x14ac:dyDescent="0.3">
      <c r="B9" s="83" t="s">
        <v>7</v>
      </c>
      <c r="D9" t="s">
        <v>213</v>
      </c>
      <c r="E9" t="s">
        <v>27</v>
      </c>
      <c r="F9" s="5">
        <f>FRONT!G6</f>
        <v>0</v>
      </c>
    </row>
    <row r="10" spans="2:8" x14ac:dyDescent="0.3">
      <c r="B10" s="83" t="s">
        <v>8</v>
      </c>
      <c r="E10" t="s">
        <v>27</v>
      </c>
      <c r="F10">
        <f>IF(G6="น้ำครัว",0.7*0.7,0.7)</f>
        <v>0.48999999999999994</v>
      </c>
    </row>
    <row r="11" spans="2:8" x14ac:dyDescent="0.3">
      <c r="B11" s="83" t="s">
        <v>9</v>
      </c>
      <c r="E11" t="s">
        <v>27</v>
      </c>
      <c r="F11" s="5">
        <f>F9*F10</f>
        <v>0</v>
      </c>
    </row>
    <row r="12" spans="2:8" x14ac:dyDescent="0.3">
      <c r="B12" s="83" t="s">
        <v>10</v>
      </c>
    </row>
    <row r="13" spans="2:8" x14ac:dyDescent="0.3">
      <c r="B13" s="83" t="s">
        <v>11</v>
      </c>
      <c r="D13" s="2" t="s">
        <v>218</v>
      </c>
      <c r="E13" s="2" t="s">
        <v>27</v>
      </c>
      <c r="F13" s="131">
        <f>MAX(F11,F7)</f>
        <v>588</v>
      </c>
      <c r="G13" s="2" t="s">
        <v>215</v>
      </c>
    </row>
    <row r="14" spans="2:8" ht="15" thickBot="1" x14ac:dyDescent="0.35">
      <c r="B14" s="83" t="s">
        <v>12</v>
      </c>
    </row>
    <row r="15" spans="2:8" ht="15" thickBot="1" x14ac:dyDescent="0.35">
      <c r="B15" s="83" t="s">
        <v>13</v>
      </c>
      <c r="D15" t="s">
        <v>26</v>
      </c>
      <c r="E15" t="s">
        <v>27</v>
      </c>
      <c r="F15" s="113">
        <f>VLOOKUP(F2,WASTE_DATA!B2:D27,3,0)*F3/1000</f>
        <v>2</v>
      </c>
      <c r="G15" t="s">
        <v>146</v>
      </c>
    </row>
    <row r="16" spans="2:8" ht="15" thickBot="1" x14ac:dyDescent="0.35">
      <c r="B16" s="83" t="s">
        <v>14</v>
      </c>
      <c r="D16" t="s">
        <v>163</v>
      </c>
      <c r="E16" t="s">
        <v>27</v>
      </c>
      <c r="F16">
        <f>F15*F13/1000</f>
        <v>1.1759999999999999</v>
      </c>
      <c r="G16" t="s">
        <v>164</v>
      </c>
    </row>
    <row r="17" spans="2:8" ht="15" thickBot="1" x14ac:dyDescent="0.35">
      <c r="B17" s="83" t="s">
        <v>15</v>
      </c>
      <c r="D17" t="s">
        <v>165</v>
      </c>
      <c r="E17" t="s">
        <v>27</v>
      </c>
      <c r="F17" s="113">
        <v>0.6</v>
      </c>
      <c r="G17" t="s">
        <v>167</v>
      </c>
    </row>
    <row r="18" spans="2:8" x14ac:dyDescent="0.3">
      <c r="B18" s="83" t="s">
        <v>16</v>
      </c>
      <c r="D18" t="s">
        <v>166</v>
      </c>
      <c r="E18" t="s">
        <v>27</v>
      </c>
      <c r="F18" s="112">
        <f>F16/F17</f>
        <v>1.96</v>
      </c>
      <c r="G18" t="s">
        <v>170</v>
      </c>
    </row>
    <row r="19" spans="2:8" x14ac:dyDescent="0.3">
      <c r="B19" s="83" t="s">
        <v>17</v>
      </c>
      <c r="D19" t="s">
        <v>168</v>
      </c>
      <c r="E19" t="s">
        <v>27</v>
      </c>
      <c r="F19" s="112">
        <f>F18/F15*24</f>
        <v>23.52</v>
      </c>
      <c r="G19" t="s">
        <v>169</v>
      </c>
    </row>
    <row r="20" spans="2:8" x14ac:dyDescent="0.3">
      <c r="B20" s="83" t="s">
        <v>18</v>
      </c>
      <c r="D20" t="s">
        <v>171</v>
      </c>
      <c r="E20" t="s">
        <v>27</v>
      </c>
      <c r="F20" s="112">
        <f>IF(F19&lt;12,12,F19)</f>
        <v>23.52</v>
      </c>
      <c r="G20" t="s">
        <v>169</v>
      </c>
    </row>
    <row r="21" spans="2:8" x14ac:dyDescent="0.3">
      <c r="B21" s="81"/>
      <c r="D21" t="s">
        <v>176</v>
      </c>
      <c r="E21" t="s">
        <v>27</v>
      </c>
      <c r="F21" s="112">
        <f>F13*2*F15/1000/20.16</f>
        <v>0.11666666666666665</v>
      </c>
      <c r="G21" t="s">
        <v>193</v>
      </c>
    </row>
    <row r="22" spans="2:8" x14ac:dyDescent="0.3">
      <c r="B22" s="82" t="s">
        <v>29</v>
      </c>
    </row>
    <row r="23" spans="2:8" x14ac:dyDescent="0.3">
      <c r="B23" s="84" t="s">
        <v>30</v>
      </c>
      <c r="D23" t="s">
        <v>31</v>
      </c>
      <c r="E23" t="s">
        <v>27</v>
      </c>
      <c r="F23" t="str">
        <f>VLOOKUP(G6,WASTE_DATA!B29:D32,3,0)</f>
        <v>จำเป็น</v>
      </c>
    </row>
    <row r="24" spans="2:8" x14ac:dyDescent="0.3">
      <c r="B24" s="84" t="s">
        <v>36</v>
      </c>
      <c r="D24" t="s">
        <v>103</v>
      </c>
      <c r="E24" t="s">
        <v>27</v>
      </c>
      <c r="F24" s="4" t="str">
        <f>_xlfn.XLOOKUP(F15,Product_GT!B5:B59,Product_GT!C5:C59,"ไม่พบสินค้า กรุณาติดต่อเรา",1,1)</f>
        <v>SGT-1000</v>
      </c>
      <c r="G24" t="str">
        <f>IF(F24="ไม่พบสินค้า กรุณาติดต่อเรา","-","บาท")</f>
        <v>บาท</v>
      </c>
    </row>
    <row r="25" spans="2:8" x14ac:dyDescent="0.3">
      <c r="B25" s="84" t="s">
        <v>145</v>
      </c>
      <c r="D25" t="s">
        <v>102</v>
      </c>
      <c r="E25" t="s">
        <v>27</v>
      </c>
      <c r="F25" s="1">
        <f>_xlfn.XLOOKUP(F15,Product_GT!B5:B59,Product_GT!D5:D59,"ไม่พบสินค้า กรุณาติดต่อเรา",1,1)</f>
        <v>19500</v>
      </c>
    </row>
    <row r="26" spans="2:8" x14ac:dyDescent="0.3">
      <c r="B26" s="84" t="s">
        <v>35</v>
      </c>
    </row>
    <row r="27" spans="2:8" x14ac:dyDescent="0.3">
      <c r="B27" s="81"/>
      <c r="D27" s="6" t="s">
        <v>93</v>
      </c>
    </row>
    <row r="28" spans="2:8" x14ac:dyDescent="0.3">
      <c r="D28" s="6" t="s">
        <v>94</v>
      </c>
    </row>
    <row r="30" spans="2:8" x14ac:dyDescent="0.3">
      <c r="D30" t="s">
        <v>39</v>
      </c>
    </row>
    <row r="32" spans="2:8" x14ac:dyDescent="0.3">
      <c r="D32" t="s">
        <v>172</v>
      </c>
      <c r="E32" t="s">
        <v>27</v>
      </c>
      <c r="F32" s="5">
        <f>(24+F20)/24*F15</f>
        <v>3.9599999999999995</v>
      </c>
      <c r="G32" t="s">
        <v>147</v>
      </c>
      <c r="H32" s="6" t="s">
        <v>37</v>
      </c>
    </row>
    <row r="33" spans="4:8" x14ac:dyDescent="0.3">
      <c r="D33" t="s">
        <v>103</v>
      </c>
      <c r="E33" t="s">
        <v>27</v>
      </c>
      <c r="F33" s="4" t="str">
        <f>_xlfn.XLOOKUP(F32,Product_AT!F4:F53,Product_AT!C4:C53,"ไม่พบสินค้า กรุณาติดต่อเรา",1,1)</f>
        <v>SS-751A</v>
      </c>
      <c r="H33" s="6"/>
    </row>
    <row r="34" spans="4:8" x14ac:dyDescent="0.3">
      <c r="D34" t="s">
        <v>102</v>
      </c>
      <c r="E34" t="s">
        <v>27</v>
      </c>
      <c r="F34" s="1">
        <f>_xlfn.XLOOKUP(F32,Product_AT!F5:F53,Product_AT!D5:D53,"-",1,1)</f>
        <v>82000</v>
      </c>
      <c r="G34" t="s">
        <v>211</v>
      </c>
      <c r="H34" s="6"/>
    </row>
    <row r="35" spans="4:8" x14ac:dyDescent="0.3">
      <c r="D35" t="s">
        <v>194</v>
      </c>
      <c r="E35" t="s">
        <v>27</v>
      </c>
      <c r="F35" s="127">
        <f>_xlfn.XLOOKUP(F32,Product_AT!F5:F53,Product_AT!J5:J53,"-",1,1)</f>
        <v>5.6666666666666657E-2</v>
      </c>
      <c r="G35" t="s">
        <v>196</v>
      </c>
      <c r="H35" s="6"/>
    </row>
    <row r="36" spans="4:8" x14ac:dyDescent="0.3">
      <c r="D36" t="s">
        <v>203</v>
      </c>
      <c r="E36" t="s">
        <v>27</v>
      </c>
      <c r="F36" t="str">
        <f>_xlfn.XLOOKUP(F32,Product_AT!F5:F53,Product_AT!L5:L53,"-",1,1)</f>
        <v>EL-80</v>
      </c>
    </row>
    <row r="37" spans="4:8" x14ac:dyDescent="0.3">
      <c r="D37" t="s">
        <v>28</v>
      </c>
      <c r="E37" t="s">
        <v>27</v>
      </c>
      <c r="F37">
        <f>_xlfn.XLOOKUP(F32,Product_AT!F5:F53,Product_AT!M5:M53,"-",1,1)</f>
        <v>1</v>
      </c>
      <c r="G37" t="s">
        <v>204</v>
      </c>
    </row>
    <row r="38" spans="4:8" x14ac:dyDescent="0.3">
      <c r="F38" s="5"/>
    </row>
    <row r="39" spans="4:8" x14ac:dyDescent="0.3">
      <c r="D39" t="s">
        <v>206</v>
      </c>
      <c r="E39" t="s">
        <v>27</v>
      </c>
      <c r="F39" s="5">
        <f>F21-F35</f>
        <v>0.06</v>
      </c>
      <c r="G39" t="s">
        <v>196</v>
      </c>
      <c r="H39" s="6" t="str">
        <f>IF(F39&gt;0,"ต้องเพิ่ม Air Pump/Blower","-")</f>
        <v>ต้องเพิ่ม Air Pump/Blower</v>
      </c>
    </row>
    <row r="40" spans="4:8" x14ac:dyDescent="0.3">
      <c r="D40" t="s">
        <v>205</v>
      </c>
      <c r="E40" t="s">
        <v>27</v>
      </c>
      <c r="F40" s="5" t="str">
        <f>_xlfn.XLOOKUP(F39,'Product_AP-AB'!E3:E26,'Product_AP-AB'!C3:C26,"ไม่พบสินค้า กรุณาติดต่อเรา",1,1)</f>
        <v>EL-60</v>
      </c>
    </row>
    <row r="41" spans="4:8" x14ac:dyDescent="0.3">
      <c r="E41" t="s">
        <v>27</v>
      </c>
      <c r="F41">
        <f>IF(F40="ไม่พบสินค้า กรุณาติดต่อเรา","-",1)</f>
        <v>1</v>
      </c>
      <c r="G41" t="str">
        <f>IF(F40="ไม่พบสินค้า กรุณาติดต่อเรา","-","ตัว")</f>
        <v>ตัว</v>
      </c>
      <c r="H41" s="6"/>
    </row>
    <row r="42" spans="4:8" x14ac:dyDescent="0.3">
      <c r="D42" t="s">
        <v>210</v>
      </c>
      <c r="E42" t="s">
        <v>27</v>
      </c>
      <c r="F42" s="1">
        <f>_xlfn.XLOOKUP(F39,'Product_AP-AB'!E3:E26,'Product_AP-AB'!G3:G26,"ไม่พบสินค้า กรุณาติดต่อเรา",1,1)</f>
        <v>5000</v>
      </c>
      <c r="G42" t="s">
        <v>211</v>
      </c>
      <c r="H42" s="6"/>
    </row>
    <row r="43" spans="4:8" x14ac:dyDescent="0.3">
      <c r="H43" s="6"/>
    </row>
    <row r="44" spans="4:8" x14ac:dyDescent="0.3">
      <c r="D44" t="s">
        <v>38</v>
      </c>
      <c r="H44" s="6"/>
    </row>
    <row r="45" spans="4:8" x14ac:dyDescent="0.3">
      <c r="D45" s="6" t="s">
        <v>175</v>
      </c>
    </row>
    <row r="46" spans="4:8" x14ac:dyDescent="0.3">
      <c r="D46" t="s">
        <v>172</v>
      </c>
      <c r="E46" t="s">
        <v>27</v>
      </c>
      <c r="F46" s="5">
        <f>2*F15</f>
        <v>4</v>
      </c>
      <c r="G46" t="s">
        <v>147</v>
      </c>
      <c r="H46" s="6" t="s">
        <v>40</v>
      </c>
    </row>
    <row r="47" spans="4:8" x14ac:dyDescent="0.3">
      <c r="D47" t="s">
        <v>103</v>
      </c>
      <c r="E47" t="s">
        <v>27</v>
      </c>
      <c r="F47" s="4" t="str">
        <f>_xlfn.XLOOKUP(F46,Product_AN!F4:F39,Product_AN!C4:C39,"ไม่พบสินค้า กรุณาติดต่อเรา",1,1)</f>
        <v>SS-333</v>
      </c>
    </row>
    <row r="48" spans="4:8" x14ac:dyDescent="0.3">
      <c r="D48" t="s">
        <v>102</v>
      </c>
      <c r="E48" t="s">
        <v>27</v>
      </c>
      <c r="F48" s="1">
        <f>_xlfn.XLOOKUP(F46,Product_AN!F5:F39,Product_AN!D5:D39,"-",1,1)</f>
        <v>52000</v>
      </c>
      <c r="G48" t="str">
        <f>IF(F47="ไม่พบสินค้า กรุณาติดต่อเรา","-","บาท")</f>
        <v>บาท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7103-A10A-4BD9-97C3-8A65DE0AE031}">
  <dimension ref="B1:F36"/>
  <sheetViews>
    <sheetView tabSelected="1" workbookViewId="0">
      <selection activeCell="B12" sqref="B12"/>
    </sheetView>
  </sheetViews>
  <sheetFormatPr defaultRowHeight="14.4" x14ac:dyDescent="0.3"/>
  <cols>
    <col min="1" max="1" width="2.6640625" customWidth="1"/>
    <col min="2" max="2" width="19.77734375" bestFit="1" customWidth="1"/>
    <col min="3" max="3" width="13.109375" customWidth="1"/>
    <col min="4" max="4" width="15.5546875" customWidth="1"/>
    <col min="5" max="5" width="25" bestFit="1" customWidth="1"/>
  </cols>
  <sheetData>
    <row r="1" spans="2:4" ht="15" thickBot="1" x14ac:dyDescent="0.35"/>
    <row r="2" spans="2:4" x14ac:dyDescent="0.3">
      <c r="B2" s="101" t="s">
        <v>25</v>
      </c>
      <c r="C2" t="s">
        <v>24</v>
      </c>
      <c r="D2" t="s">
        <v>26</v>
      </c>
    </row>
    <row r="3" spans="2:4" x14ac:dyDescent="0.3">
      <c r="B3" s="102" t="s">
        <v>13</v>
      </c>
      <c r="C3" s="100" t="s">
        <v>19</v>
      </c>
      <c r="D3">
        <v>450</v>
      </c>
    </row>
    <row r="4" spans="2:4" x14ac:dyDescent="0.3">
      <c r="B4" s="102" t="s">
        <v>4</v>
      </c>
      <c r="C4" s="100" t="s">
        <v>19</v>
      </c>
      <c r="D4">
        <v>50</v>
      </c>
    </row>
    <row r="5" spans="2:4" x14ac:dyDescent="0.3">
      <c r="B5" s="102" t="s">
        <v>3</v>
      </c>
      <c r="C5" s="100" t="s">
        <v>21</v>
      </c>
      <c r="D5">
        <v>200</v>
      </c>
    </row>
    <row r="6" spans="2:4" x14ac:dyDescent="0.3">
      <c r="B6" s="102" t="s">
        <v>151</v>
      </c>
      <c r="C6" s="100" t="s">
        <v>19</v>
      </c>
      <c r="D6">
        <v>50</v>
      </c>
    </row>
    <row r="7" spans="2:4" x14ac:dyDescent="0.3">
      <c r="B7" s="102" t="s">
        <v>2</v>
      </c>
      <c r="C7" s="100" t="s">
        <v>20</v>
      </c>
      <c r="D7">
        <v>1000</v>
      </c>
    </row>
    <row r="8" spans="2:4" x14ac:dyDescent="0.3">
      <c r="B8" s="102" t="s">
        <v>5</v>
      </c>
      <c r="C8" s="100" t="s">
        <v>19</v>
      </c>
      <c r="D8">
        <v>150</v>
      </c>
    </row>
    <row r="9" spans="2:4" x14ac:dyDescent="0.3">
      <c r="B9" s="102" t="s">
        <v>152</v>
      </c>
      <c r="C9" s="100" t="s">
        <v>19</v>
      </c>
      <c r="D9">
        <v>60</v>
      </c>
    </row>
    <row r="10" spans="2:4" x14ac:dyDescent="0.3">
      <c r="B10" s="102" t="s">
        <v>153</v>
      </c>
      <c r="C10" s="100" t="s">
        <v>154</v>
      </c>
      <c r="D10">
        <v>11.4</v>
      </c>
    </row>
    <row r="11" spans="2:4" x14ac:dyDescent="0.3">
      <c r="B11" s="102" t="s">
        <v>155</v>
      </c>
      <c r="C11" s="100" t="s">
        <v>154</v>
      </c>
      <c r="D11">
        <v>70</v>
      </c>
    </row>
    <row r="12" spans="2:4" x14ac:dyDescent="0.3">
      <c r="B12" s="102" t="s">
        <v>12</v>
      </c>
      <c r="C12" s="100" t="s">
        <v>19</v>
      </c>
      <c r="D12">
        <v>200</v>
      </c>
    </row>
    <row r="13" spans="2:4" x14ac:dyDescent="0.3">
      <c r="B13" s="102" t="s">
        <v>6</v>
      </c>
      <c r="C13" s="100" t="s">
        <v>19</v>
      </c>
      <c r="D13">
        <v>50</v>
      </c>
    </row>
    <row r="14" spans="2:4" x14ac:dyDescent="0.3">
      <c r="B14" s="102" t="s">
        <v>15</v>
      </c>
      <c r="C14" s="100" t="s">
        <v>19</v>
      </c>
      <c r="D14">
        <v>50</v>
      </c>
    </row>
    <row r="15" spans="2:4" x14ac:dyDescent="0.3">
      <c r="B15" s="102" t="s">
        <v>16</v>
      </c>
      <c r="C15" s="100" t="s">
        <v>19</v>
      </c>
      <c r="D15">
        <v>220</v>
      </c>
    </row>
    <row r="16" spans="2:4" x14ac:dyDescent="0.3">
      <c r="B16" s="102" t="s">
        <v>156</v>
      </c>
      <c r="C16" s="100" t="s">
        <v>19</v>
      </c>
      <c r="D16">
        <v>100</v>
      </c>
    </row>
    <row r="17" spans="2:6" x14ac:dyDescent="0.3">
      <c r="B17" s="102" t="s">
        <v>8</v>
      </c>
      <c r="C17" s="100" t="s">
        <v>19</v>
      </c>
      <c r="D17">
        <v>100</v>
      </c>
    </row>
    <row r="18" spans="2:6" x14ac:dyDescent="0.3">
      <c r="B18" s="102" t="s">
        <v>14</v>
      </c>
      <c r="C18" s="100" t="s">
        <v>19</v>
      </c>
      <c r="D18">
        <v>350</v>
      </c>
    </row>
    <row r="19" spans="2:6" x14ac:dyDescent="0.3">
      <c r="B19" s="102" t="s">
        <v>18</v>
      </c>
      <c r="C19" s="100" t="s">
        <v>23</v>
      </c>
      <c r="D19">
        <v>40</v>
      </c>
    </row>
    <row r="20" spans="2:6" x14ac:dyDescent="0.3">
      <c r="B20" s="102" t="s">
        <v>10</v>
      </c>
      <c r="C20" s="100" t="s">
        <v>19</v>
      </c>
      <c r="D20">
        <v>15</v>
      </c>
    </row>
    <row r="21" spans="2:6" x14ac:dyDescent="0.3">
      <c r="B21" s="102" t="s">
        <v>157</v>
      </c>
      <c r="C21" s="100" t="s">
        <v>158</v>
      </c>
      <c r="D21">
        <v>30</v>
      </c>
    </row>
    <row r="22" spans="2:6" x14ac:dyDescent="0.3">
      <c r="B22" s="102" t="s">
        <v>161</v>
      </c>
      <c r="C22" s="100" t="s">
        <v>19</v>
      </c>
      <c r="D22">
        <v>70</v>
      </c>
    </row>
    <row r="23" spans="2:6" x14ac:dyDescent="0.3">
      <c r="B23" s="102" t="s">
        <v>160</v>
      </c>
      <c r="C23" s="100" t="s">
        <v>154</v>
      </c>
      <c r="D23">
        <v>5</v>
      </c>
    </row>
    <row r="24" spans="2:6" x14ac:dyDescent="0.3">
      <c r="B24" s="102" t="s">
        <v>9</v>
      </c>
      <c r="C24" s="100" t="s">
        <v>19</v>
      </c>
      <c r="D24">
        <v>50</v>
      </c>
    </row>
    <row r="25" spans="2:6" x14ac:dyDescent="0.3">
      <c r="B25" s="102" t="s">
        <v>17</v>
      </c>
      <c r="C25" s="100" t="s">
        <v>22</v>
      </c>
      <c r="D25">
        <v>10</v>
      </c>
    </row>
    <row r="26" spans="2:6" x14ac:dyDescent="0.3">
      <c r="B26" s="102" t="s">
        <v>7</v>
      </c>
      <c r="C26" s="100" t="s">
        <v>19</v>
      </c>
      <c r="D26">
        <v>200</v>
      </c>
    </row>
    <row r="27" spans="2:6" x14ac:dyDescent="0.3">
      <c r="B27" s="102" t="s">
        <v>159</v>
      </c>
      <c r="C27" s="100" t="s">
        <v>154</v>
      </c>
      <c r="D27">
        <v>5</v>
      </c>
    </row>
    <row r="28" spans="2:6" ht="15" thickBot="1" x14ac:dyDescent="0.35">
      <c r="B28" s="80"/>
    </row>
    <row r="29" spans="2:6" x14ac:dyDescent="0.3">
      <c r="B29" s="101" t="s">
        <v>29</v>
      </c>
      <c r="C29" t="s">
        <v>0</v>
      </c>
      <c r="D29" t="s">
        <v>32</v>
      </c>
      <c r="E29" t="s">
        <v>217</v>
      </c>
    </row>
    <row r="30" spans="2:6" x14ac:dyDescent="0.3">
      <c r="B30" s="105" t="s">
        <v>221</v>
      </c>
      <c r="C30">
        <v>588</v>
      </c>
      <c r="D30" t="s">
        <v>34</v>
      </c>
      <c r="E30" s="114" t="s">
        <v>173</v>
      </c>
      <c r="F30" s="114"/>
    </row>
    <row r="31" spans="2:6" x14ac:dyDescent="0.3">
      <c r="B31" s="105" t="s">
        <v>222</v>
      </c>
      <c r="C31">
        <v>224</v>
      </c>
      <c r="D31" t="s">
        <v>33</v>
      </c>
      <c r="E31" s="114" t="s">
        <v>174</v>
      </c>
      <c r="F31" s="114"/>
    </row>
    <row r="32" spans="2:6" ht="15" thickBot="1" x14ac:dyDescent="0.35">
      <c r="B32" s="106" t="s">
        <v>35</v>
      </c>
      <c r="C32">
        <v>175</v>
      </c>
      <c r="D32" t="s">
        <v>219</v>
      </c>
      <c r="E32" s="114" t="s">
        <v>174</v>
      </c>
      <c r="F32" s="114"/>
    </row>
    <row r="33" spans="2:2" x14ac:dyDescent="0.3">
      <c r="B33" s="80"/>
    </row>
    <row r="34" spans="2:2" x14ac:dyDescent="0.3">
      <c r="B34" s="80"/>
    </row>
    <row r="35" spans="2:2" x14ac:dyDescent="0.3">
      <c r="B35" s="80"/>
    </row>
    <row r="36" spans="2:2" x14ac:dyDescent="0.3">
      <c r="B36" s="80"/>
    </row>
  </sheetData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87C0-99A1-4AEA-A1E3-6D618448694F}">
  <dimension ref="B2:M53"/>
  <sheetViews>
    <sheetView topLeftCell="A37" workbookViewId="0">
      <selection activeCell="J45" sqref="J45"/>
    </sheetView>
  </sheetViews>
  <sheetFormatPr defaultRowHeight="14.4" x14ac:dyDescent="0.3"/>
  <cols>
    <col min="2" max="2" width="6.21875" bestFit="1" customWidth="1"/>
    <col min="3" max="3" width="9.5546875" bestFit="1" customWidth="1"/>
    <col min="4" max="4" width="10.21875" bestFit="1" customWidth="1"/>
    <col min="5" max="5" width="13.5546875" bestFit="1" customWidth="1"/>
    <col min="6" max="6" width="9.109375" bestFit="1" customWidth="1"/>
    <col min="7" max="8" width="10" bestFit="1" customWidth="1"/>
    <col min="9" max="9" width="11" bestFit="1" customWidth="1"/>
    <col min="10" max="10" width="8.21875" bestFit="1" customWidth="1"/>
  </cols>
  <sheetData>
    <row r="2" spans="2:13" x14ac:dyDescent="0.3">
      <c r="B2" t="s">
        <v>91</v>
      </c>
      <c r="C2" s="54" t="s">
        <v>27</v>
      </c>
      <c r="D2" s="55" t="str">
        <f>"10 - 42"</f>
        <v>10 - 42</v>
      </c>
    </row>
    <row r="3" spans="2:13" ht="15" thickBot="1" x14ac:dyDescent="0.35"/>
    <row r="4" spans="2:13" ht="16.8" thickBot="1" x14ac:dyDescent="0.35">
      <c r="B4" s="7" t="s">
        <v>41</v>
      </c>
      <c r="C4" s="8" t="s">
        <v>42</v>
      </c>
      <c r="D4" s="8" t="s">
        <v>43</v>
      </c>
      <c r="E4" s="8" t="s">
        <v>44</v>
      </c>
      <c r="F4" s="8" t="s">
        <v>45</v>
      </c>
      <c r="G4" s="8" t="s">
        <v>46</v>
      </c>
      <c r="H4" s="8" t="s">
        <v>47</v>
      </c>
      <c r="I4" s="9" t="s">
        <v>48</v>
      </c>
      <c r="J4" s="110" t="s">
        <v>162</v>
      </c>
      <c r="L4" s="128" t="s">
        <v>197</v>
      </c>
      <c r="M4" s="128" t="s">
        <v>199</v>
      </c>
    </row>
    <row r="5" spans="2:13" x14ac:dyDescent="0.3">
      <c r="B5" s="76">
        <v>0.75</v>
      </c>
      <c r="C5" s="69" t="s">
        <v>130</v>
      </c>
      <c r="D5" s="70">
        <v>38500</v>
      </c>
      <c r="E5" s="71">
        <v>0</v>
      </c>
      <c r="F5" s="71">
        <v>1.25</v>
      </c>
      <c r="G5" s="115">
        <v>0</v>
      </c>
      <c r="H5" s="115">
        <v>0</v>
      </c>
      <c r="I5" s="116">
        <v>0</v>
      </c>
      <c r="J5" s="124">
        <f>B5*0.32*2/20.16</f>
        <v>2.3809523809523808E-2</v>
      </c>
      <c r="K5" s="142" t="s">
        <v>195</v>
      </c>
      <c r="L5" t="s">
        <v>183</v>
      </c>
      <c r="M5">
        <v>1</v>
      </c>
    </row>
    <row r="6" spans="2:13" x14ac:dyDescent="0.3">
      <c r="B6" s="77">
        <v>1.35</v>
      </c>
      <c r="C6" s="73" t="s">
        <v>131</v>
      </c>
      <c r="D6" s="74">
        <v>53700</v>
      </c>
      <c r="E6" s="75">
        <v>0</v>
      </c>
      <c r="F6" s="75">
        <v>2.34</v>
      </c>
      <c r="G6" s="115">
        <v>0</v>
      </c>
      <c r="H6" s="115">
        <v>0</v>
      </c>
      <c r="I6" s="116">
        <v>0</v>
      </c>
      <c r="J6" s="125">
        <f t="shared" ref="J6:J18" si="0">B6*0.32*0.7*2/20.16</f>
        <v>0.03</v>
      </c>
      <c r="K6" s="143"/>
      <c r="L6" t="s">
        <v>183</v>
      </c>
      <c r="M6">
        <v>1</v>
      </c>
    </row>
    <row r="7" spans="2:13" x14ac:dyDescent="0.3">
      <c r="B7" s="77">
        <v>1.95</v>
      </c>
      <c r="C7" s="73" t="s">
        <v>132</v>
      </c>
      <c r="D7" s="74">
        <v>68500</v>
      </c>
      <c r="E7" s="75">
        <v>0</v>
      </c>
      <c r="F7" s="75">
        <v>3.44</v>
      </c>
      <c r="G7" s="115">
        <v>0</v>
      </c>
      <c r="H7" s="115">
        <v>0</v>
      </c>
      <c r="I7" s="116">
        <v>0</v>
      </c>
      <c r="J7" s="125">
        <f t="shared" si="0"/>
        <v>4.3333333333333328E-2</v>
      </c>
      <c r="K7" s="143"/>
      <c r="L7" t="s">
        <v>185</v>
      </c>
      <c r="M7">
        <v>1</v>
      </c>
    </row>
    <row r="8" spans="2:13" x14ac:dyDescent="0.3">
      <c r="B8" s="77">
        <v>2.5499999999999998</v>
      </c>
      <c r="C8" s="73" t="s">
        <v>133</v>
      </c>
      <c r="D8" s="74">
        <v>82000</v>
      </c>
      <c r="E8" s="75">
        <v>0</v>
      </c>
      <c r="F8" s="75">
        <v>4.45</v>
      </c>
      <c r="G8" s="116">
        <v>0</v>
      </c>
      <c r="H8" s="116">
        <v>0</v>
      </c>
      <c r="I8" s="116">
        <v>0</v>
      </c>
      <c r="J8" s="125">
        <f t="shared" si="0"/>
        <v>5.6666666666666657E-2</v>
      </c>
      <c r="K8" s="143"/>
      <c r="L8" t="s">
        <v>186</v>
      </c>
      <c r="M8">
        <v>1</v>
      </c>
    </row>
    <row r="9" spans="2:13" x14ac:dyDescent="0.3">
      <c r="B9" s="77">
        <v>3.15</v>
      </c>
      <c r="C9" s="73" t="s">
        <v>134</v>
      </c>
      <c r="D9" s="74">
        <v>103500</v>
      </c>
      <c r="E9" s="75">
        <v>0</v>
      </c>
      <c r="F9" s="75">
        <v>5.3</v>
      </c>
      <c r="G9" s="116">
        <v>0</v>
      </c>
      <c r="H9" s="116">
        <v>0</v>
      </c>
      <c r="I9" s="116">
        <v>0</v>
      </c>
      <c r="J9" s="125">
        <f t="shared" si="0"/>
        <v>7.0000000000000007E-2</v>
      </c>
      <c r="K9" s="143"/>
      <c r="L9" t="s">
        <v>187</v>
      </c>
      <c r="M9">
        <v>1</v>
      </c>
    </row>
    <row r="10" spans="2:13" x14ac:dyDescent="0.3">
      <c r="B10" s="77">
        <v>3.75</v>
      </c>
      <c r="C10" s="73" t="s">
        <v>135</v>
      </c>
      <c r="D10" s="74">
        <v>112000</v>
      </c>
      <c r="E10" s="75">
        <v>0</v>
      </c>
      <c r="F10" s="75">
        <v>6.32</v>
      </c>
      <c r="G10" s="116">
        <v>0</v>
      </c>
      <c r="H10" s="116">
        <v>0</v>
      </c>
      <c r="I10" s="116">
        <v>0</v>
      </c>
      <c r="J10" s="125">
        <f t="shared" si="0"/>
        <v>8.3333333333333329E-2</v>
      </c>
      <c r="K10" s="143"/>
      <c r="L10" t="s">
        <v>187</v>
      </c>
      <c r="M10">
        <v>1</v>
      </c>
    </row>
    <row r="11" spans="2:13" x14ac:dyDescent="0.3">
      <c r="B11" s="77">
        <v>4.3499999999999996</v>
      </c>
      <c r="C11" s="73" t="s">
        <v>136</v>
      </c>
      <c r="D11" s="74">
        <v>122700</v>
      </c>
      <c r="E11" s="75">
        <v>0</v>
      </c>
      <c r="F11" s="75">
        <v>7.39</v>
      </c>
      <c r="G11" s="116">
        <v>0</v>
      </c>
      <c r="H11" s="116">
        <v>0</v>
      </c>
      <c r="I11" s="116">
        <v>0</v>
      </c>
      <c r="J11" s="125">
        <f t="shared" si="0"/>
        <v>9.6666666666666651E-2</v>
      </c>
      <c r="K11" s="143"/>
      <c r="L11" t="s">
        <v>198</v>
      </c>
      <c r="M11">
        <v>1</v>
      </c>
    </row>
    <row r="12" spans="2:13" x14ac:dyDescent="0.3">
      <c r="B12" s="77">
        <v>5</v>
      </c>
      <c r="C12" s="73" t="s">
        <v>137</v>
      </c>
      <c r="D12" s="74">
        <v>138000</v>
      </c>
      <c r="E12" s="75">
        <v>0</v>
      </c>
      <c r="F12" s="75">
        <v>8.49</v>
      </c>
      <c r="G12" s="116">
        <v>0</v>
      </c>
      <c r="H12" s="116">
        <v>0</v>
      </c>
      <c r="I12" s="116">
        <v>0</v>
      </c>
      <c r="J12" s="125">
        <f t="shared" si="0"/>
        <v>0.1111111111111111</v>
      </c>
      <c r="K12" s="143"/>
      <c r="L12" t="s">
        <v>186</v>
      </c>
      <c r="M12">
        <v>2</v>
      </c>
    </row>
    <row r="13" spans="2:13" x14ac:dyDescent="0.3">
      <c r="B13" s="77">
        <v>5.6</v>
      </c>
      <c r="C13" s="73" t="s">
        <v>138</v>
      </c>
      <c r="D13" s="74">
        <v>175000</v>
      </c>
      <c r="E13" s="75">
        <v>0</v>
      </c>
      <c r="F13" s="75">
        <v>9.5</v>
      </c>
      <c r="G13" s="116">
        <v>0</v>
      </c>
      <c r="H13" s="116">
        <v>0</v>
      </c>
      <c r="I13" s="116">
        <v>0</v>
      </c>
      <c r="J13" s="125">
        <f t="shared" si="0"/>
        <v>0.12444444444444441</v>
      </c>
      <c r="K13" s="143"/>
      <c r="L13" t="s">
        <v>187</v>
      </c>
      <c r="M13">
        <v>2</v>
      </c>
    </row>
    <row r="14" spans="2:13" x14ac:dyDescent="0.3">
      <c r="B14" s="77">
        <v>6.2</v>
      </c>
      <c r="C14" s="73" t="s">
        <v>139</v>
      </c>
      <c r="D14" s="74">
        <v>185000</v>
      </c>
      <c r="E14" s="75">
        <v>0</v>
      </c>
      <c r="F14" s="75">
        <v>10.43</v>
      </c>
      <c r="G14" s="116">
        <v>0</v>
      </c>
      <c r="H14" s="116">
        <v>0</v>
      </c>
      <c r="I14" s="116">
        <v>0</v>
      </c>
      <c r="J14" s="125">
        <f t="shared" si="0"/>
        <v>0.13777777777777778</v>
      </c>
      <c r="K14" s="143"/>
      <c r="L14" t="s">
        <v>187</v>
      </c>
      <c r="M14">
        <v>2</v>
      </c>
    </row>
    <row r="15" spans="2:13" x14ac:dyDescent="0.3">
      <c r="B15" s="77">
        <v>6.8</v>
      </c>
      <c r="C15" s="73" t="s">
        <v>140</v>
      </c>
      <c r="D15" s="74">
        <v>188500</v>
      </c>
      <c r="E15" s="75">
        <v>0</v>
      </c>
      <c r="F15" s="75">
        <v>11.44</v>
      </c>
      <c r="G15" s="116">
        <v>0</v>
      </c>
      <c r="H15" s="116">
        <v>0</v>
      </c>
      <c r="I15" s="116">
        <v>0</v>
      </c>
      <c r="J15" s="125">
        <f t="shared" si="0"/>
        <v>0.15111111111111111</v>
      </c>
      <c r="K15" s="143"/>
      <c r="L15" t="s">
        <v>187</v>
      </c>
      <c r="M15">
        <v>2</v>
      </c>
    </row>
    <row r="16" spans="2:13" x14ac:dyDescent="0.3">
      <c r="B16" s="77">
        <v>7.4</v>
      </c>
      <c r="C16" s="73" t="s">
        <v>141</v>
      </c>
      <c r="D16" s="74">
        <v>196100</v>
      </c>
      <c r="E16" s="75">
        <v>0</v>
      </c>
      <c r="F16" s="75">
        <v>12.53</v>
      </c>
      <c r="G16" s="116">
        <v>0</v>
      </c>
      <c r="H16" s="116">
        <v>0</v>
      </c>
      <c r="I16" s="116">
        <v>0</v>
      </c>
      <c r="J16" s="125">
        <f t="shared" si="0"/>
        <v>0.16444444444444445</v>
      </c>
      <c r="K16" s="143"/>
      <c r="L16" t="s">
        <v>187</v>
      </c>
      <c r="M16">
        <v>2</v>
      </c>
    </row>
    <row r="17" spans="2:13" x14ac:dyDescent="0.3">
      <c r="B17" s="77">
        <v>8</v>
      </c>
      <c r="C17" s="73" t="s">
        <v>142</v>
      </c>
      <c r="D17" s="74">
        <v>205800</v>
      </c>
      <c r="E17" s="75">
        <v>0</v>
      </c>
      <c r="F17" s="75">
        <v>13.54</v>
      </c>
      <c r="G17" s="116">
        <v>0</v>
      </c>
      <c r="H17" s="116">
        <v>0</v>
      </c>
      <c r="I17" s="116">
        <v>0</v>
      </c>
      <c r="J17" s="125">
        <f t="shared" si="0"/>
        <v>0.17777777777777776</v>
      </c>
      <c r="K17" s="143"/>
      <c r="L17" t="s">
        <v>187</v>
      </c>
      <c r="M17">
        <v>2</v>
      </c>
    </row>
    <row r="18" spans="2:13" x14ac:dyDescent="0.3">
      <c r="B18" s="77">
        <v>8.6</v>
      </c>
      <c r="C18" s="73" t="s">
        <v>143</v>
      </c>
      <c r="D18" s="74">
        <v>216400</v>
      </c>
      <c r="E18" s="75">
        <v>0</v>
      </c>
      <c r="F18" s="75">
        <v>14.54</v>
      </c>
      <c r="G18" s="116">
        <v>0</v>
      </c>
      <c r="H18" s="116">
        <v>0</v>
      </c>
      <c r="I18" s="116">
        <v>0</v>
      </c>
      <c r="J18" s="125">
        <f t="shared" si="0"/>
        <v>0.19111111111111106</v>
      </c>
      <c r="K18" s="143"/>
      <c r="L18" t="s">
        <v>188</v>
      </c>
      <c r="M18">
        <v>2</v>
      </c>
    </row>
    <row r="19" spans="2:13" ht="15" thickBot="1" x14ac:dyDescent="0.35">
      <c r="B19" s="77">
        <v>9.1999999999999993</v>
      </c>
      <c r="C19" s="73" t="s">
        <v>144</v>
      </c>
      <c r="D19" s="74">
        <v>219200</v>
      </c>
      <c r="E19" s="75">
        <v>0</v>
      </c>
      <c r="F19" s="75">
        <v>15.55</v>
      </c>
      <c r="G19" s="116">
        <v>0</v>
      </c>
      <c r="H19" s="116">
        <v>0</v>
      </c>
      <c r="I19" s="116">
        <v>0</v>
      </c>
      <c r="J19" s="126">
        <f>B19*0.32*0.7*2/20.16</f>
        <v>0.20444444444444443</v>
      </c>
      <c r="K19" s="144"/>
      <c r="L19" t="s">
        <v>188</v>
      </c>
      <c r="M19">
        <v>2</v>
      </c>
    </row>
    <row r="20" spans="2:13" x14ac:dyDescent="0.3">
      <c r="B20" s="35">
        <v>10</v>
      </c>
      <c r="C20" s="36" t="s">
        <v>49</v>
      </c>
      <c r="D20" s="37">
        <v>276800</v>
      </c>
      <c r="E20" s="38">
        <v>5.0999999999999996</v>
      </c>
      <c r="F20" s="38">
        <v>13.66</v>
      </c>
      <c r="G20" s="38">
        <v>8.39</v>
      </c>
      <c r="H20" s="38">
        <v>5.27</v>
      </c>
      <c r="I20" s="39">
        <v>2</v>
      </c>
      <c r="J20" s="112">
        <f>B20*0.25*0.7*2/20.16</f>
        <v>0.1736111111111111</v>
      </c>
      <c r="L20" t="s">
        <v>188</v>
      </c>
      <c r="M20">
        <v>2</v>
      </c>
    </row>
    <row r="21" spans="2:13" x14ac:dyDescent="0.3">
      <c r="B21" s="40">
        <v>12</v>
      </c>
      <c r="C21" s="41" t="s">
        <v>50</v>
      </c>
      <c r="D21" s="42">
        <v>292200</v>
      </c>
      <c r="E21" s="43">
        <f>+E5+0.5</f>
        <v>0.5</v>
      </c>
      <c r="F21" s="41">
        <v>15.17</v>
      </c>
      <c r="G21" s="43">
        <v>9.11</v>
      </c>
      <c r="H21" s="43">
        <v>6.06</v>
      </c>
      <c r="I21" s="44">
        <v>2.5</v>
      </c>
      <c r="J21" s="112">
        <f t="shared" ref="J21:J53" si="1">B21*0.25*0.7*2/20.16</f>
        <v>0.20833333333333329</v>
      </c>
      <c r="L21" t="s">
        <v>188</v>
      </c>
      <c r="M21">
        <v>2</v>
      </c>
    </row>
    <row r="22" spans="2:13" x14ac:dyDescent="0.3">
      <c r="B22" s="40">
        <v>13</v>
      </c>
      <c r="C22" s="41" t="s">
        <v>51</v>
      </c>
      <c r="D22" s="42">
        <v>315600</v>
      </c>
      <c r="E22" s="43">
        <f t="shared" ref="E22:E29" si="2">+E21+0.5</f>
        <v>1</v>
      </c>
      <c r="F22" s="41">
        <v>16.54</v>
      </c>
      <c r="G22" s="43">
        <v>9.85</v>
      </c>
      <c r="H22" s="43">
        <v>6.69</v>
      </c>
      <c r="I22" s="44">
        <v>2.5</v>
      </c>
      <c r="J22" s="112">
        <f t="shared" si="1"/>
        <v>0.22569444444444445</v>
      </c>
      <c r="L22" t="s">
        <v>188</v>
      </c>
      <c r="M22">
        <v>2</v>
      </c>
    </row>
    <row r="23" spans="2:13" x14ac:dyDescent="0.3">
      <c r="B23" s="40">
        <v>14</v>
      </c>
      <c r="C23" s="41" t="s">
        <v>52</v>
      </c>
      <c r="D23" s="42">
        <v>365100</v>
      </c>
      <c r="E23" s="43">
        <f t="shared" si="2"/>
        <v>1.5</v>
      </c>
      <c r="F23" s="41">
        <v>17.98</v>
      </c>
      <c r="G23" s="43">
        <v>10.57</v>
      </c>
      <c r="H23" s="43">
        <v>7.41</v>
      </c>
      <c r="I23" s="44">
        <v>2.75</v>
      </c>
      <c r="J23" s="112">
        <f t="shared" si="1"/>
        <v>0.24305555555555552</v>
      </c>
      <c r="L23" t="s">
        <v>189</v>
      </c>
      <c r="M23">
        <v>2</v>
      </c>
    </row>
    <row r="24" spans="2:13" x14ac:dyDescent="0.3">
      <c r="B24" s="40">
        <v>15</v>
      </c>
      <c r="C24" s="41" t="s">
        <v>53</v>
      </c>
      <c r="D24" s="42">
        <v>392900</v>
      </c>
      <c r="E24" s="43">
        <f t="shared" si="2"/>
        <v>2</v>
      </c>
      <c r="F24" s="41">
        <v>19.420000000000002</v>
      </c>
      <c r="G24" s="43">
        <v>11.3</v>
      </c>
      <c r="H24" s="43">
        <v>8.1199999999999992</v>
      </c>
      <c r="I24" s="44">
        <v>3</v>
      </c>
      <c r="J24" s="112">
        <f t="shared" si="1"/>
        <v>0.26041666666666669</v>
      </c>
      <c r="L24" t="s">
        <v>189</v>
      </c>
      <c r="M24">
        <v>2</v>
      </c>
    </row>
    <row r="25" spans="2:13" x14ac:dyDescent="0.3">
      <c r="B25" s="40">
        <v>16</v>
      </c>
      <c r="C25" s="41" t="s">
        <v>54</v>
      </c>
      <c r="D25" s="42">
        <v>405100</v>
      </c>
      <c r="E25" s="43">
        <f t="shared" si="2"/>
        <v>2.5</v>
      </c>
      <c r="F25" s="41">
        <v>20.86</v>
      </c>
      <c r="G25" s="43">
        <v>12.03</v>
      </c>
      <c r="H25" s="43">
        <v>8.83</v>
      </c>
      <c r="I25" s="44">
        <v>3</v>
      </c>
      <c r="J25" s="112">
        <f t="shared" si="1"/>
        <v>0.27777777777777773</v>
      </c>
      <c r="L25" t="s">
        <v>189</v>
      </c>
      <c r="M25">
        <v>2</v>
      </c>
    </row>
    <row r="26" spans="2:13" x14ac:dyDescent="0.3">
      <c r="B26" s="40">
        <v>17</v>
      </c>
      <c r="C26" s="41" t="s">
        <v>55</v>
      </c>
      <c r="D26" s="42">
        <v>428100</v>
      </c>
      <c r="E26" s="43">
        <f t="shared" si="2"/>
        <v>3</v>
      </c>
      <c r="F26" s="41">
        <v>22.3</v>
      </c>
      <c r="G26" s="43">
        <v>12.76</v>
      </c>
      <c r="H26" s="43">
        <v>9.5399999999999991</v>
      </c>
      <c r="I26" s="44">
        <v>3.25</v>
      </c>
      <c r="J26" s="112">
        <f t="shared" si="1"/>
        <v>0.29513888888888884</v>
      </c>
      <c r="L26" t="s">
        <v>190</v>
      </c>
      <c r="M26">
        <v>2</v>
      </c>
    </row>
    <row r="27" spans="2:13" x14ac:dyDescent="0.3">
      <c r="B27" s="40">
        <v>18</v>
      </c>
      <c r="C27" s="41" t="s">
        <v>56</v>
      </c>
      <c r="D27" s="42">
        <v>442000</v>
      </c>
      <c r="E27" s="43">
        <f t="shared" si="2"/>
        <v>3.5</v>
      </c>
      <c r="F27" s="41">
        <v>23.76</v>
      </c>
      <c r="G27" s="43">
        <v>14.22</v>
      </c>
      <c r="H27" s="43">
        <v>9.5399999999999991</v>
      </c>
      <c r="I27" s="44">
        <v>3.5</v>
      </c>
      <c r="J27" s="112">
        <f t="shared" si="1"/>
        <v>0.3125</v>
      </c>
      <c r="L27" t="s">
        <v>190</v>
      </c>
      <c r="M27">
        <v>2</v>
      </c>
    </row>
    <row r="28" spans="2:13" x14ac:dyDescent="0.3">
      <c r="B28" s="40">
        <v>20</v>
      </c>
      <c r="C28" s="41" t="s">
        <v>57</v>
      </c>
      <c r="D28" s="42">
        <v>467700</v>
      </c>
      <c r="E28" s="43">
        <f t="shared" si="2"/>
        <v>4</v>
      </c>
      <c r="F28" s="41">
        <v>25.2</v>
      </c>
      <c r="G28" s="43">
        <v>14.95</v>
      </c>
      <c r="H28" s="43">
        <v>10.25</v>
      </c>
      <c r="I28" s="44">
        <v>4</v>
      </c>
      <c r="J28" s="112">
        <f t="shared" si="1"/>
        <v>0.34722222222222221</v>
      </c>
      <c r="L28" t="s">
        <v>190</v>
      </c>
      <c r="M28">
        <v>2</v>
      </c>
    </row>
    <row r="29" spans="2:13" ht="15" thickBot="1" x14ac:dyDescent="0.35">
      <c r="B29" s="49">
        <v>21</v>
      </c>
      <c r="C29" s="50" t="s">
        <v>58</v>
      </c>
      <c r="D29" s="51">
        <v>479900</v>
      </c>
      <c r="E29" s="52">
        <f t="shared" si="2"/>
        <v>4.5</v>
      </c>
      <c r="F29" s="50">
        <v>26.64</v>
      </c>
      <c r="G29" s="52">
        <v>15.68</v>
      </c>
      <c r="H29" s="52">
        <v>10.96</v>
      </c>
      <c r="I29" s="53">
        <v>4</v>
      </c>
      <c r="J29" s="112">
        <f t="shared" si="1"/>
        <v>0.36458333333333331</v>
      </c>
      <c r="L29" t="s">
        <v>190</v>
      </c>
      <c r="M29">
        <v>2</v>
      </c>
    </row>
    <row r="30" spans="2:13" x14ac:dyDescent="0.3">
      <c r="B30" s="25">
        <v>22</v>
      </c>
      <c r="C30" s="26" t="s">
        <v>59</v>
      </c>
      <c r="D30" s="27">
        <v>490600</v>
      </c>
      <c r="E30" s="28">
        <v>6.7</v>
      </c>
      <c r="F30" s="28">
        <v>28.71</v>
      </c>
      <c r="G30" s="26">
        <v>16.82</v>
      </c>
      <c r="H30" s="28">
        <v>11.89</v>
      </c>
      <c r="I30" s="29">
        <v>4.25</v>
      </c>
      <c r="J30" s="112">
        <f t="shared" si="1"/>
        <v>0.38194444444444442</v>
      </c>
      <c r="L30" t="s">
        <v>200</v>
      </c>
      <c r="M30">
        <v>1</v>
      </c>
    </row>
    <row r="31" spans="2:13" x14ac:dyDescent="0.3">
      <c r="B31" s="16">
        <v>24</v>
      </c>
      <c r="C31" s="17" t="s">
        <v>60</v>
      </c>
      <c r="D31" s="18">
        <v>510300</v>
      </c>
      <c r="E31" s="19">
        <f>+E30+0.5</f>
        <v>7.2</v>
      </c>
      <c r="F31" s="19">
        <v>31.02</v>
      </c>
      <c r="G31" s="17">
        <v>17.989999999999998</v>
      </c>
      <c r="H31" s="19">
        <v>13.04</v>
      </c>
      <c r="I31" s="20">
        <v>4.75</v>
      </c>
      <c r="J31" s="112">
        <f t="shared" si="1"/>
        <v>0.41666666666666657</v>
      </c>
      <c r="L31" t="s">
        <v>200</v>
      </c>
      <c r="M31">
        <v>1</v>
      </c>
    </row>
    <row r="32" spans="2:13" x14ac:dyDescent="0.3">
      <c r="B32" s="16">
        <v>26</v>
      </c>
      <c r="C32" s="17" t="s">
        <v>61</v>
      </c>
      <c r="D32" s="18">
        <v>528800</v>
      </c>
      <c r="E32" s="19">
        <f t="shared" ref="E32:E41" si="3">+E31+0.5</f>
        <v>7.7</v>
      </c>
      <c r="F32" s="19">
        <v>33.35</v>
      </c>
      <c r="G32" s="17">
        <v>20.309999999999999</v>
      </c>
      <c r="H32" s="19">
        <v>13.04</v>
      </c>
      <c r="I32" s="20">
        <v>5</v>
      </c>
      <c r="J32" s="112">
        <f t="shared" si="1"/>
        <v>0.4513888888888889</v>
      </c>
      <c r="L32" t="s">
        <v>200</v>
      </c>
      <c r="M32">
        <v>1</v>
      </c>
    </row>
    <row r="33" spans="2:13" x14ac:dyDescent="0.3">
      <c r="B33" s="16">
        <v>28</v>
      </c>
      <c r="C33" s="17" t="s">
        <v>62</v>
      </c>
      <c r="D33" s="18">
        <v>542000</v>
      </c>
      <c r="E33" s="19">
        <f t="shared" si="3"/>
        <v>8.1999999999999993</v>
      </c>
      <c r="F33" s="19">
        <v>35.659999999999997</v>
      </c>
      <c r="G33" s="17">
        <v>21.48</v>
      </c>
      <c r="H33" s="19">
        <v>14.18</v>
      </c>
      <c r="I33" s="20">
        <v>5.5</v>
      </c>
      <c r="J33" s="112">
        <f t="shared" si="1"/>
        <v>0.48611111111111105</v>
      </c>
      <c r="L33" t="s">
        <v>200</v>
      </c>
      <c r="M33">
        <v>1</v>
      </c>
    </row>
    <row r="34" spans="2:13" x14ac:dyDescent="0.3">
      <c r="B34" s="16">
        <v>30</v>
      </c>
      <c r="C34" s="17" t="s">
        <v>63</v>
      </c>
      <c r="D34" s="18">
        <v>560400</v>
      </c>
      <c r="E34" s="19">
        <f t="shared" si="3"/>
        <v>8.6999999999999993</v>
      </c>
      <c r="F34" s="19">
        <v>37.96</v>
      </c>
      <c r="G34" s="17">
        <v>22.64</v>
      </c>
      <c r="H34" s="19">
        <v>15.32</v>
      </c>
      <c r="I34" s="20">
        <v>5.75</v>
      </c>
      <c r="J34" s="112">
        <f t="shared" si="1"/>
        <v>0.52083333333333337</v>
      </c>
      <c r="L34" t="s">
        <v>200</v>
      </c>
      <c r="M34">
        <v>1</v>
      </c>
    </row>
    <row r="35" spans="2:13" x14ac:dyDescent="0.3">
      <c r="B35" s="16">
        <v>31</v>
      </c>
      <c r="C35" s="17" t="s">
        <v>64</v>
      </c>
      <c r="D35" s="18">
        <v>569200</v>
      </c>
      <c r="E35" s="19">
        <f t="shared" si="3"/>
        <v>9.1999999999999993</v>
      </c>
      <c r="F35" s="19">
        <v>40.270000000000003</v>
      </c>
      <c r="G35" s="17">
        <v>23.8</v>
      </c>
      <c r="H35" s="19">
        <v>16.47</v>
      </c>
      <c r="I35" s="20">
        <v>6</v>
      </c>
      <c r="J35" s="112">
        <f t="shared" si="1"/>
        <v>0.53819444444444442</v>
      </c>
      <c r="L35" t="s">
        <v>200</v>
      </c>
      <c r="M35">
        <v>1</v>
      </c>
    </row>
    <row r="36" spans="2:13" x14ac:dyDescent="0.3">
      <c r="B36" s="16">
        <v>33</v>
      </c>
      <c r="C36" s="17" t="s">
        <v>65</v>
      </c>
      <c r="D36" s="18">
        <v>600000</v>
      </c>
      <c r="E36" s="19">
        <f t="shared" si="3"/>
        <v>9.6999999999999993</v>
      </c>
      <c r="F36" s="19">
        <v>42.58</v>
      </c>
      <c r="G36" s="17">
        <v>24.97</v>
      </c>
      <c r="H36" s="19">
        <v>17.61</v>
      </c>
      <c r="I36" s="20">
        <v>6.5</v>
      </c>
      <c r="J36" s="112">
        <f t="shared" si="1"/>
        <v>0.57291666666666663</v>
      </c>
      <c r="L36" t="s">
        <v>200</v>
      </c>
      <c r="M36">
        <v>1</v>
      </c>
    </row>
    <row r="37" spans="2:13" x14ac:dyDescent="0.3">
      <c r="B37" s="16">
        <v>35</v>
      </c>
      <c r="C37" s="17" t="s">
        <v>66</v>
      </c>
      <c r="D37" s="18">
        <v>612900</v>
      </c>
      <c r="E37" s="19">
        <f t="shared" si="3"/>
        <v>10.199999999999999</v>
      </c>
      <c r="F37" s="19">
        <v>44.9</v>
      </c>
      <c r="G37" s="17">
        <v>27.29</v>
      </c>
      <c r="H37" s="19">
        <v>17.61</v>
      </c>
      <c r="I37" s="20">
        <v>6.75</v>
      </c>
      <c r="J37" s="112">
        <f t="shared" si="1"/>
        <v>0.60763888888888884</v>
      </c>
      <c r="L37" t="s">
        <v>200</v>
      </c>
      <c r="M37">
        <v>1</v>
      </c>
    </row>
    <row r="38" spans="2:13" x14ac:dyDescent="0.3">
      <c r="B38" s="16">
        <v>37</v>
      </c>
      <c r="C38" s="17" t="s">
        <v>67</v>
      </c>
      <c r="D38" s="18">
        <v>631400</v>
      </c>
      <c r="E38" s="19">
        <f t="shared" si="3"/>
        <v>10.7</v>
      </c>
      <c r="F38" s="19">
        <v>47.21</v>
      </c>
      <c r="G38" s="17">
        <v>28.46</v>
      </c>
      <c r="H38" s="19">
        <v>18.75</v>
      </c>
      <c r="I38" s="20">
        <v>7</v>
      </c>
      <c r="J38" s="112">
        <f t="shared" si="1"/>
        <v>0.64236111111111105</v>
      </c>
      <c r="L38" t="s">
        <v>200</v>
      </c>
      <c r="M38">
        <v>1</v>
      </c>
    </row>
    <row r="39" spans="2:13" x14ac:dyDescent="0.3">
      <c r="B39" s="16">
        <v>39</v>
      </c>
      <c r="C39" s="17" t="s">
        <v>68</v>
      </c>
      <c r="D39" s="18">
        <v>656900</v>
      </c>
      <c r="E39" s="19">
        <f t="shared" si="3"/>
        <v>11.2</v>
      </c>
      <c r="F39" s="19">
        <v>49.52</v>
      </c>
      <c r="G39" s="17">
        <v>29.62</v>
      </c>
      <c r="H39" s="19">
        <v>19.899999999999999</v>
      </c>
      <c r="I39" s="20">
        <v>7.5</v>
      </c>
      <c r="J39" s="112">
        <f>B39*0.25*0.7*2/20.16</f>
        <v>0.67708333333333326</v>
      </c>
      <c r="L39" t="s">
        <v>200</v>
      </c>
      <c r="M39">
        <v>1</v>
      </c>
    </row>
    <row r="40" spans="2:13" x14ac:dyDescent="0.3">
      <c r="B40" s="16">
        <v>41</v>
      </c>
      <c r="C40" s="17" t="s">
        <v>69</v>
      </c>
      <c r="D40" s="18">
        <v>676900</v>
      </c>
      <c r="E40" s="19">
        <f t="shared" si="3"/>
        <v>11.7</v>
      </c>
      <c r="F40" s="19">
        <v>51.82</v>
      </c>
      <c r="G40" s="17">
        <v>30.78</v>
      </c>
      <c r="H40" s="19">
        <v>21.04</v>
      </c>
      <c r="I40" s="20">
        <v>8</v>
      </c>
      <c r="J40" s="112">
        <f t="shared" si="1"/>
        <v>0.71180555555555558</v>
      </c>
      <c r="L40" t="s">
        <v>200</v>
      </c>
      <c r="M40">
        <v>1</v>
      </c>
    </row>
    <row r="41" spans="2:13" ht="15" thickBot="1" x14ac:dyDescent="0.35">
      <c r="B41" s="30">
        <v>42</v>
      </c>
      <c r="C41" s="31" t="s">
        <v>70</v>
      </c>
      <c r="D41" s="32">
        <v>701000</v>
      </c>
      <c r="E41" s="33">
        <f t="shared" si="3"/>
        <v>12.2</v>
      </c>
      <c r="F41" s="33">
        <v>54.13</v>
      </c>
      <c r="G41" s="31">
        <v>31.95</v>
      </c>
      <c r="H41" s="33">
        <v>22.18</v>
      </c>
      <c r="I41" s="34">
        <v>8</v>
      </c>
      <c r="J41" s="112">
        <f t="shared" si="1"/>
        <v>0.72916666666666663</v>
      </c>
      <c r="L41" t="s">
        <v>200</v>
      </c>
      <c r="M41">
        <v>1</v>
      </c>
    </row>
    <row r="42" spans="2:13" x14ac:dyDescent="0.3">
      <c r="B42" s="95">
        <v>50</v>
      </c>
      <c r="C42" s="96" t="s">
        <v>149</v>
      </c>
      <c r="D42" s="97">
        <v>1022000</v>
      </c>
      <c r="E42">
        <v>0</v>
      </c>
      <c r="F42">
        <v>50</v>
      </c>
      <c r="G42">
        <v>0</v>
      </c>
      <c r="H42">
        <v>0</v>
      </c>
      <c r="I42">
        <v>0</v>
      </c>
      <c r="J42" s="112">
        <f t="shared" si="1"/>
        <v>0.86805555555555558</v>
      </c>
    </row>
    <row r="43" spans="2:13" x14ac:dyDescent="0.3">
      <c r="B43" s="95">
        <v>60</v>
      </c>
      <c r="C43" s="96" t="s">
        <v>150</v>
      </c>
      <c r="D43" s="97">
        <v>1087000</v>
      </c>
      <c r="E43">
        <v>0</v>
      </c>
      <c r="F43">
        <v>60</v>
      </c>
      <c r="G43">
        <v>0</v>
      </c>
      <c r="H43">
        <v>0</v>
      </c>
      <c r="I43">
        <v>0</v>
      </c>
      <c r="J43" s="112">
        <f t="shared" si="1"/>
        <v>1.0416666666666667</v>
      </c>
    </row>
    <row r="44" spans="2:13" x14ac:dyDescent="0.3">
      <c r="B44" s="95">
        <v>75</v>
      </c>
      <c r="C44" s="98" t="str">
        <f>"BCM-"&amp;B44&amp;"E"</f>
        <v>BCM-75E</v>
      </c>
      <c r="D44" s="97">
        <v>1192800</v>
      </c>
      <c r="E44">
        <v>0</v>
      </c>
      <c r="F44">
        <v>75</v>
      </c>
      <c r="G44">
        <v>0</v>
      </c>
      <c r="H44">
        <v>0</v>
      </c>
      <c r="I44">
        <v>0</v>
      </c>
      <c r="J44" s="112">
        <f t="shared" si="1"/>
        <v>1.3020833333333333</v>
      </c>
    </row>
    <row r="45" spans="2:13" x14ac:dyDescent="0.3">
      <c r="B45" s="95">
        <v>100</v>
      </c>
      <c r="C45" s="98" t="str">
        <f t="shared" ref="C45:C53" si="4">"BCM-"&amp;B45&amp;"E"</f>
        <v>BCM-100E</v>
      </c>
      <c r="D45" s="97">
        <v>1593300</v>
      </c>
      <c r="E45">
        <v>0</v>
      </c>
      <c r="F45">
        <v>100</v>
      </c>
      <c r="G45">
        <v>0</v>
      </c>
      <c r="H45">
        <v>0</v>
      </c>
      <c r="I45">
        <v>0</v>
      </c>
      <c r="J45" s="112">
        <f t="shared" si="1"/>
        <v>1.7361111111111112</v>
      </c>
    </row>
    <row r="46" spans="2:13" x14ac:dyDescent="0.3">
      <c r="B46" s="95">
        <v>125</v>
      </c>
      <c r="C46" s="98" t="str">
        <f t="shared" si="4"/>
        <v>BCM-125E</v>
      </c>
      <c r="D46" s="97">
        <v>1763100</v>
      </c>
      <c r="E46">
        <v>0</v>
      </c>
      <c r="F46">
        <v>125</v>
      </c>
      <c r="G46">
        <v>0</v>
      </c>
      <c r="H46">
        <v>0</v>
      </c>
      <c r="I46">
        <v>0</v>
      </c>
      <c r="J46" s="112">
        <f t="shared" si="1"/>
        <v>2.1701388888888888</v>
      </c>
    </row>
    <row r="47" spans="2:13" x14ac:dyDescent="0.3">
      <c r="B47" s="95">
        <v>150</v>
      </c>
      <c r="C47" s="98" t="str">
        <f t="shared" si="4"/>
        <v>BCM-150E</v>
      </c>
      <c r="D47" s="97">
        <v>2054400</v>
      </c>
      <c r="E47">
        <v>0</v>
      </c>
      <c r="F47">
        <v>150</v>
      </c>
      <c r="G47">
        <v>0</v>
      </c>
      <c r="H47">
        <v>0</v>
      </c>
      <c r="I47">
        <v>0</v>
      </c>
      <c r="J47" s="112">
        <f t="shared" si="1"/>
        <v>2.6041666666666665</v>
      </c>
    </row>
    <row r="48" spans="2:13" x14ac:dyDescent="0.3">
      <c r="B48" s="95">
        <v>175</v>
      </c>
      <c r="C48" s="98" t="str">
        <f t="shared" si="4"/>
        <v>BCM-175E</v>
      </c>
      <c r="D48" s="97">
        <v>2416500</v>
      </c>
      <c r="E48">
        <v>0</v>
      </c>
      <c r="F48">
        <v>175</v>
      </c>
      <c r="G48">
        <v>0</v>
      </c>
      <c r="H48">
        <v>0</v>
      </c>
      <c r="I48">
        <v>0</v>
      </c>
      <c r="J48" s="112">
        <f t="shared" si="1"/>
        <v>3.0381944444444442</v>
      </c>
    </row>
    <row r="49" spans="2:10" x14ac:dyDescent="0.3">
      <c r="B49" s="95">
        <v>200</v>
      </c>
      <c r="C49" s="98" t="str">
        <f t="shared" si="4"/>
        <v>BCM-200E</v>
      </c>
      <c r="D49" s="97">
        <v>2570600</v>
      </c>
      <c r="E49">
        <v>0</v>
      </c>
      <c r="F49">
        <v>200</v>
      </c>
      <c r="G49">
        <v>0</v>
      </c>
      <c r="H49">
        <v>0</v>
      </c>
      <c r="I49">
        <v>0</v>
      </c>
      <c r="J49" s="112">
        <f t="shared" si="1"/>
        <v>3.4722222222222223</v>
      </c>
    </row>
    <row r="50" spans="2:10" x14ac:dyDescent="0.3">
      <c r="B50" s="95">
        <v>225</v>
      </c>
      <c r="C50" s="98" t="str">
        <f t="shared" si="4"/>
        <v>BCM-225E</v>
      </c>
      <c r="D50" s="97">
        <v>2857700</v>
      </c>
      <c r="E50">
        <v>0</v>
      </c>
      <c r="F50">
        <v>225</v>
      </c>
      <c r="G50">
        <v>0</v>
      </c>
      <c r="H50">
        <v>0</v>
      </c>
      <c r="I50">
        <v>0</v>
      </c>
      <c r="J50" s="112">
        <f t="shared" si="1"/>
        <v>3.90625</v>
      </c>
    </row>
    <row r="51" spans="2:10" x14ac:dyDescent="0.3">
      <c r="B51" s="95">
        <v>250</v>
      </c>
      <c r="C51" s="98" t="str">
        <f t="shared" si="4"/>
        <v>BCM-250E</v>
      </c>
      <c r="D51" s="97">
        <v>2973200</v>
      </c>
      <c r="E51">
        <v>0</v>
      </c>
      <c r="F51">
        <v>250</v>
      </c>
      <c r="G51">
        <v>0</v>
      </c>
      <c r="H51">
        <v>0</v>
      </c>
      <c r="I51">
        <v>0</v>
      </c>
      <c r="J51" s="112">
        <f t="shared" si="1"/>
        <v>4.3402777777777777</v>
      </c>
    </row>
    <row r="52" spans="2:10" x14ac:dyDescent="0.3">
      <c r="B52" s="95">
        <v>275</v>
      </c>
      <c r="C52" s="98" t="str">
        <f t="shared" si="4"/>
        <v>BCM-275E</v>
      </c>
      <c r="D52" s="97">
        <v>3168800</v>
      </c>
      <c r="E52">
        <v>0</v>
      </c>
      <c r="F52">
        <v>275</v>
      </c>
      <c r="G52">
        <v>0</v>
      </c>
      <c r="H52">
        <v>0</v>
      </c>
      <c r="I52">
        <v>0</v>
      </c>
      <c r="J52" s="112">
        <f t="shared" si="1"/>
        <v>4.7743055555555554</v>
      </c>
    </row>
    <row r="53" spans="2:10" x14ac:dyDescent="0.3">
      <c r="B53" s="95">
        <v>300</v>
      </c>
      <c r="C53" s="98" t="str">
        <f t="shared" si="4"/>
        <v>BCM-300E</v>
      </c>
      <c r="D53" s="97">
        <v>3204900</v>
      </c>
      <c r="E53">
        <v>0</v>
      </c>
      <c r="F53">
        <v>300</v>
      </c>
      <c r="G53">
        <v>0</v>
      </c>
      <c r="H53">
        <v>0</v>
      </c>
      <c r="I53">
        <v>0</v>
      </c>
      <c r="J53" s="112">
        <f t="shared" si="1"/>
        <v>5.208333333333333</v>
      </c>
    </row>
  </sheetData>
  <mergeCells count="1">
    <mergeCell ref="K5:K19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870E-87CB-4178-BFB6-19DCFD7B14B7}">
  <dimension ref="B2:F39"/>
  <sheetViews>
    <sheetView topLeftCell="A22" workbookViewId="0">
      <selection activeCell="F24" sqref="F24"/>
    </sheetView>
  </sheetViews>
  <sheetFormatPr defaultRowHeight="14.4" x14ac:dyDescent="0.3"/>
  <cols>
    <col min="5" max="5" width="13.5546875" bestFit="1" customWidth="1"/>
    <col min="6" max="6" width="9.109375" bestFit="1" customWidth="1"/>
  </cols>
  <sheetData>
    <row r="2" spans="2:6" x14ac:dyDescent="0.3">
      <c r="B2" t="s">
        <v>91</v>
      </c>
      <c r="C2" s="54" t="s">
        <v>27</v>
      </c>
      <c r="D2" t="s">
        <v>92</v>
      </c>
    </row>
    <row r="3" spans="2:6" ht="15" thickBot="1" x14ac:dyDescent="0.35"/>
    <row r="4" spans="2:6" ht="16.8" thickBot="1" x14ac:dyDescent="0.35">
      <c r="B4" s="10" t="s">
        <v>41</v>
      </c>
      <c r="C4" s="11" t="s">
        <v>42</v>
      </c>
      <c r="D4" s="11" t="s">
        <v>43</v>
      </c>
      <c r="E4" s="11" t="s">
        <v>129</v>
      </c>
      <c r="F4" s="11" t="s">
        <v>45</v>
      </c>
    </row>
    <row r="5" spans="2:6" x14ac:dyDescent="0.3">
      <c r="B5" s="68">
        <v>0.45</v>
      </c>
      <c r="C5" s="69" t="s">
        <v>114</v>
      </c>
      <c r="D5" s="70">
        <v>16700</v>
      </c>
      <c r="E5" s="71"/>
      <c r="F5" s="71">
        <v>1.25</v>
      </c>
    </row>
    <row r="6" spans="2:6" x14ac:dyDescent="0.3">
      <c r="B6" s="72">
        <v>0.85</v>
      </c>
      <c r="C6" s="73" t="s">
        <v>115</v>
      </c>
      <c r="D6" s="74">
        <v>28000</v>
      </c>
      <c r="E6" s="75"/>
      <c r="F6" s="75">
        <v>2.34</v>
      </c>
    </row>
    <row r="7" spans="2:6" x14ac:dyDescent="0.3">
      <c r="B7" s="72">
        <v>1.25</v>
      </c>
      <c r="C7" s="73" t="s">
        <v>116</v>
      </c>
      <c r="D7" s="74">
        <v>33700</v>
      </c>
      <c r="E7" s="75"/>
      <c r="F7" s="75">
        <v>3.44</v>
      </c>
    </row>
    <row r="8" spans="2:6" x14ac:dyDescent="0.3">
      <c r="B8" s="72">
        <v>1.65</v>
      </c>
      <c r="C8" s="73" t="s">
        <v>117</v>
      </c>
      <c r="D8" s="74">
        <v>52000</v>
      </c>
      <c r="E8" s="75"/>
      <c r="F8" s="75">
        <v>4.29</v>
      </c>
    </row>
    <row r="9" spans="2:6" x14ac:dyDescent="0.3">
      <c r="B9" s="72">
        <v>2.0499999999999998</v>
      </c>
      <c r="C9" s="73" t="s">
        <v>118</v>
      </c>
      <c r="D9" s="74">
        <v>64800</v>
      </c>
      <c r="E9" s="75"/>
      <c r="F9" s="75">
        <v>5.3</v>
      </c>
    </row>
    <row r="10" spans="2:6" x14ac:dyDescent="0.3">
      <c r="B10" s="72">
        <v>2.4500000000000002</v>
      </c>
      <c r="C10" s="73" t="s">
        <v>119</v>
      </c>
      <c r="D10" s="74">
        <v>74000</v>
      </c>
      <c r="E10" s="75"/>
      <c r="F10" s="75">
        <v>6.38</v>
      </c>
    </row>
    <row r="11" spans="2:6" x14ac:dyDescent="0.3">
      <c r="B11" s="72">
        <v>2.85</v>
      </c>
      <c r="C11" s="73" t="s">
        <v>120</v>
      </c>
      <c r="D11" s="74">
        <v>82000</v>
      </c>
      <c r="E11" s="75"/>
      <c r="F11" s="75">
        <v>7.39</v>
      </c>
    </row>
    <row r="12" spans="2:6" x14ac:dyDescent="0.3">
      <c r="B12" s="72">
        <v>3.25</v>
      </c>
      <c r="C12" s="73" t="s">
        <v>121</v>
      </c>
      <c r="D12" s="74">
        <v>86000</v>
      </c>
      <c r="E12" s="75"/>
      <c r="F12" s="75">
        <v>8.49</v>
      </c>
    </row>
    <row r="13" spans="2:6" x14ac:dyDescent="0.3">
      <c r="B13" s="72">
        <v>3.65</v>
      </c>
      <c r="C13" s="73" t="s">
        <v>122</v>
      </c>
      <c r="D13" s="74">
        <v>97000</v>
      </c>
      <c r="E13" s="75"/>
      <c r="F13" s="75">
        <v>9.5</v>
      </c>
    </row>
    <row r="14" spans="2:6" x14ac:dyDescent="0.3">
      <c r="B14" s="72">
        <v>4.05</v>
      </c>
      <c r="C14" s="73" t="s">
        <v>123</v>
      </c>
      <c r="D14" s="74">
        <v>101500</v>
      </c>
      <c r="E14" s="75"/>
      <c r="F14" s="75">
        <v>10.51</v>
      </c>
    </row>
    <row r="15" spans="2:6" x14ac:dyDescent="0.3">
      <c r="B15" s="72">
        <v>4.45</v>
      </c>
      <c r="C15" s="73" t="s">
        <v>124</v>
      </c>
      <c r="D15" s="74">
        <v>112500</v>
      </c>
      <c r="E15" s="75"/>
      <c r="F15" s="75">
        <v>11.52</v>
      </c>
    </row>
    <row r="16" spans="2:6" x14ac:dyDescent="0.3">
      <c r="B16" s="72">
        <v>4.8499999999999996</v>
      </c>
      <c r="C16" s="73" t="s">
        <v>125</v>
      </c>
      <c r="D16" s="74">
        <v>118000</v>
      </c>
      <c r="E16" s="75"/>
      <c r="F16" s="75">
        <v>12.53</v>
      </c>
    </row>
    <row r="17" spans="2:6" x14ac:dyDescent="0.3">
      <c r="B17" s="72">
        <v>5.25</v>
      </c>
      <c r="C17" s="73" t="s">
        <v>126</v>
      </c>
      <c r="D17" s="74">
        <v>127500</v>
      </c>
      <c r="E17" s="75"/>
      <c r="F17" s="75">
        <v>13.54</v>
      </c>
    </row>
    <row r="18" spans="2:6" x14ac:dyDescent="0.3">
      <c r="B18" s="72">
        <v>5.65</v>
      </c>
      <c r="C18" s="73" t="s">
        <v>127</v>
      </c>
      <c r="D18" s="74">
        <v>135000</v>
      </c>
      <c r="E18" s="75"/>
      <c r="F18" s="75">
        <v>14.54</v>
      </c>
    </row>
    <row r="19" spans="2:6" ht="15" thickBot="1" x14ac:dyDescent="0.35">
      <c r="B19" s="72">
        <v>6.05</v>
      </c>
      <c r="C19" s="73" t="s">
        <v>128</v>
      </c>
      <c r="D19" s="74">
        <v>146500</v>
      </c>
      <c r="E19" s="75"/>
      <c r="F19" s="75">
        <v>15.55</v>
      </c>
    </row>
    <row r="20" spans="2:6" x14ac:dyDescent="0.3">
      <c r="B20" s="35">
        <v>7</v>
      </c>
      <c r="C20" s="36" t="s">
        <v>71</v>
      </c>
      <c r="D20" s="37">
        <v>197400</v>
      </c>
      <c r="E20" s="38">
        <v>5.6</v>
      </c>
      <c r="F20" s="38">
        <v>14.96</v>
      </c>
    </row>
    <row r="21" spans="2:6" x14ac:dyDescent="0.3">
      <c r="B21" s="40">
        <v>8</v>
      </c>
      <c r="C21" s="41" t="s">
        <v>72</v>
      </c>
      <c r="D21" s="42">
        <v>233900</v>
      </c>
      <c r="E21" s="43">
        <f>+E5+0.5</f>
        <v>0.5</v>
      </c>
      <c r="F21" s="43">
        <v>16.399999999999999</v>
      </c>
    </row>
    <row r="22" spans="2:6" x14ac:dyDescent="0.3">
      <c r="B22" s="40">
        <v>8.5</v>
      </c>
      <c r="C22" s="41" t="s">
        <v>73</v>
      </c>
      <c r="D22" s="42">
        <v>249000</v>
      </c>
      <c r="E22" s="43">
        <f t="shared" ref="E22:E24" si="0">+E21+0.5</f>
        <v>1</v>
      </c>
      <c r="F22" s="43">
        <v>17.84</v>
      </c>
    </row>
    <row r="23" spans="2:6" x14ac:dyDescent="0.3">
      <c r="B23" s="40">
        <v>9.5</v>
      </c>
      <c r="C23" s="41" t="s">
        <v>74</v>
      </c>
      <c r="D23" s="42">
        <v>278100</v>
      </c>
      <c r="E23" s="43">
        <f t="shared" si="0"/>
        <v>1.5</v>
      </c>
      <c r="F23" s="43">
        <f>F22+1.44</f>
        <v>19.28</v>
      </c>
    </row>
    <row r="24" spans="2:6" ht="15" thickBot="1" x14ac:dyDescent="0.35">
      <c r="B24" s="45">
        <v>10</v>
      </c>
      <c r="C24" s="46" t="s">
        <v>75</v>
      </c>
      <c r="D24" s="47">
        <v>301600</v>
      </c>
      <c r="E24" s="48">
        <f t="shared" si="0"/>
        <v>2</v>
      </c>
      <c r="F24" s="48">
        <f t="shared" ref="F24" si="1">F23+1.44</f>
        <v>20.720000000000002</v>
      </c>
    </row>
    <row r="25" spans="2:6" x14ac:dyDescent="0.3">
      <c r="B25" s="12">
        <v>10.5</v>
      </c>
      <c r="C25" s="13" t="s">
        <v>76</v>
      </c>
      <c r="D25" s="14">
        <v>307600</v>
      </c>
      <c r="E25" s="15">
        <v>5.2</v>
      </c>
      <c r="F25" s="15">
        <v>21.75</v>
      </c>
    </row>
    <row r="26" spans="2:6" x14ac:dyDescent="0.3">
      <c r="B26" s="16">
        <v>11.5</v>
      </c>
      <c r="C26" s="17" t="s">
        <v>77</v>
      </c>
      <c r="D26" s="18">
        <v>327300</v>
      </c>
      <c r="E26" s="19">
        <f t="shared" ref="E26:E39" si="2">+E25+0.5</f>
        <v>5.7</v>
      </c>
      <c r="F26" s="19">
        <f>F25+2.31</f>
        <v>24.06</v>
      </c>
    </row>
    <row r="27" spans="2:6" x14ac:dyDescent="0.3">
      <c r="B27" s="16">
        <v>13</v>
      </c>
      <c r="C27" s="17" t="s">
        <v>78</v>
      </c>
      <c r="D27" s="18">
        <v>341400</v>
      </c>
      <c r="E27" s="19">
        <f t="shared" si="2"/>
        <v>6.2</v>
      </c>
      <c r="F27" s="19">
        <f t="shared" ref="F27:F35" si="3">F26+2.31</f>
        <v>26.369999999999997</v>
      </c>
    </row>
    <row r="28" spans="2:6" x14ac:dyDescent="0.3">
      <c r="B28" s="16">
        <v>14</v>
      </c>
      <c r="C28" s="17" t="s">
        <v>79</v>
      </c>
      <c r="D28" s="18">
        <v>361100</v>
      </c>
      <c r="E28" s="19">
        <f t="shared" si="2"/>
        <v>6.7</v>
      </c>
      <c r="F28" s="19">
        <f t="shared" si="3"/>
        <v>28.679999999999996</v>
      </c>
    </row>
    <row r="29" spans="2:6" x14ac:dyDescent="0.3">
      <c r="B29" s="21">
        <v>15</v>
      </c>
      <c r="C29" s="22" t="s">
        <v>80</v>
      </c>
      <c r="D29" s="23">
        <v>379500</v>
      </c>
      <c r="E29" s="24">
        <f t="shared" si="2"/>
        <v>7.2</v>
      </c>
      <c r="F29" s="24">
        <v>30.98</v>
      </c>
    </row>
    <row r="30" spans="2:6" x14ac:dyDescent="0.3">
      <c r="B30" s="16">
        <v>16.5</v>
      </c>
      <c r="C30" s="17" t="s">
        <v>81</v>
      </c>
      <c r="D30" s="18">
        <v>415500</v>
      </c>
      <c r="E30" s="19">
        <f t="shared" si="2"/>
        <v>7.7</v>
      </c>
      <c r="F30" s="19">
        <f t="shared" si="3"/>
        <v>33.29</v>
      </c>
    </row>
    <row r="31" spans="2:6" x14ac:dyDescent="0.3">
      <c r="B31" s="16">
        <v>17.5</v>
      </c>
      <c r="C31" s="17" t="s">
        <v>82</v>
      </c>
      <c r="D31" s="18">
        <v>428400</v>
      </c>
      <c r="E31" s="19">
        <f t="shared" si="2"/>
        <v>8.1999999999999993</v>
      </c>
      <c r="F31" s="19">
        <f t="shared" si="3"/>
        <v>35.6</v>
      </c>
    </row>
    <row r="32" spans="2:6" x14ac:dyDescent="0.3">
      <c r="B32" s="25">
        <v>18.5</v>
      </c>
      <c r="C32" s="26" t="s">
        <v>83</v>
      </c>
      <c r="D32" s="27">
        <v>448100</v>
      </c>
      <c r="E32" s="28">
        <f t="shared" si="2"/>
        <v>8.6999999999999993</v>
      </c>
      <c r="F32" s="28">
        <f t="shared" si="3"/>
        <v>37.910000000000004</v>
      </c>
    </row>
    <row r="33" spans="2:6" x14ac:dyDescent="0.3">
      <c r="B33" s="16">
        <v>19.5</v>
      </c>
      <c r="C33" s="17" t="s">
        <v>84</v>
      </c>
      <c r="D33" s="18">
        <v>461100</v>
      </c>
      <c r="E33" s="19">
        <f t="shared" si="2"/>
        <v>9.1999999999999993</v>
      </c>
      <c r="F33" s="19">
        <v>40.21</v>
      </c>
    </row>
    <row r="34" spans="2:6" x14ac:dyDescent="0.3">
      <c r="B34" s="16">
        <v>21</v>
      </c>
      <c r="C34" s="17" t="s">
        <v>85</v>
      </c>
      <c r="D34" s="18">
        <v>483700</v>
      </c>
      <c r="E34" s="19">
        <f t="shared" si="2"/>
        <v>9.6999999999999993</v>
      </c>
      <c r="F34" s="19">
        <f t="shared" si="3"/>
        <v>42.52</v>
      </c>
    </row>
    <row r="35" spans="2:6" x14ac:dyDescent="0.3">
      <c r="B35" s="16">
        <v>22</v>
      </c>
      <c r="C35" s="17" t="s">
        <v>86</v>
      </c>
      <c r="D35" s="18">
        <v>503200</v>
      </c>
      <c r="E35" s="19">
        <f t="shared" si="2"/>
        <v>10.199999999999999</v>
      </c>
      <c r="F35" s="19">
        <f t="shared" si="3"/>
        <v>44.830000000000005</v>
      </c>
    </row>
    <row r="36" spans="2:6" x14ac:dyDescent="0.3">
      <c r="B36" s="16">
        <v>23</v>
      </c>
      <c r="C36" s="17" t="s">
        <v>87</v>
      </c>
      <c r="D36" s="18">
        <v>517700</v>
      </c>
      <c r="E36" s="19">
        <f t="shared" si="2"/>
        <v>10.7</v>
      </c>
      <c r="F36" s="19">
        <v>47.13</v>
      </c>
    </row>
    <row r="37" spans="2:6" x14ac:dyDescent="0.3">
      <c r="B37" s="16">
        <v>24</v>
      </c>
      <c r="C37" s="17" t="s">
        <v>88</v>
      </c>
      <c r="D37" s="18">
        <v>532400</v>
      </c>
      <c r="E37" s="19">
        <f t="shared" si="2"/>
        <v>11.2</v>
      </c>
      <c r="F37" s="19">
        <v>49.45</v>
      </c>
    </row>
    <row r="38" spans="2:6" x14ac:dyDescent="0.3">
      <c r="B38" s="16">
        <v>25.5</v>
      </c>
      <c r="C38" s="17" t="s">
        <v>89</v>
      </c>
      <c r="D38" s="18">
        <v>555000</v>
      </c>
      <c r="E38" s="19">
        <f t="shared" si="2"/>
        <v>11.7</v>
      </c>
      <c r="F38" s="19">
        <v>51.75</v>
      </c>
    </row>
    <row r="39" spans="2:6" ht="15" thickBot="1" x14ac:dyDescent="0.35">
      <c r="B39" s="30">
        <v>26.5</v>
      </c>
      <c r="C39" s="31" t="s">
        <v>90</v>
      </c>
      <c r="D39" s="32">
        <v>582000</v>
      </c>
      <c r="E39" s="33">
        <f t="shared" si="2"/>
        <v>12.2</v>
      </c>
      <c r="F39" s="33">
        <v>54.05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9BF8-2714-40CB-8EC3-8F4D85ABFFFF}">
  <dimension ref="B2:E59"/>
  <sheetViews>
    <sheetView workbookViewId="0">
      <selection activeCell="D2" sqref="B2:D2"/>
    </sheetView>
  </sheetViews>
  <sheetFormatPr defaultRowHeight="14.4" x14ac:dyDescent="0.3"/>
  <cols>
    <col min="3" max="4" width="34.109375" bestFit="1" customWidth="1"/>
    <col min="5" max="5" width="9.77734375" bestFit="1" customWidth="1"/>
  </cols>
  <sheetData>
    <row r="2" spans="2:5" x14ac:dyDescent="0.3">
      <c r="C2" s="54"/>
    </row>
    <row r="3" spans="2:5" ht="15" thickBot="1" x14ac:dyDescent="0.35"/>
    <row r="4" spans="2:5" ht="15" thickBot="1" x14ac:dyDescent="0.35">
      <c r="B4" s="10" t="s">
        <v>41</v>
      </c>
      <c r="C4" s="11" t="s">
        <v>42</v>
      </c>
      <c r="D4" s="11" t="s">
        <v>43</v>
      </c>
      <c r="E4" s="56" t="s">
        <v>105</v>
      </c>
    </row>
    <row r="5" spans="2:5" x14ac:dyDescent="0.3">
      <c r="B5" s="35">
        <f>E5*24/4000</f>
        <v>0.18</v>
      </c>
      <c r="C5" s="36" t="s">
        <v>99</v>
      </c>
      <c r="D5" s="37">
        <v>4500</v>
      </c>
      <c r="E5" s="58">
        <v>30</v>
      </c>
    </row>
    <row r="6" spans="2:5" x14ac:dyDescent="0.3">
      <c r="B6" s="40">
        <f t="shared" ref="B6:B16" si="0">E6*24/4000</f>
        <v>0.36</v>
      </c>
      <c r="C6" s="41" t="s">
        <v>98</v>
      </c>
      <c r="D6" s="42">
        <v>5700</v>
      </c>
      <c r="E6" s="57">
        <v>60</v>
      </c>
    </row>
    <row r="7" spans="2:5" x14ac:dyDescent="0.3">
      <c r="B7" s="40">
        <f t="shared" si="0"/>
        <v>0.48</v>
      </c>
      <c r="C7" s="41" t="s">
        <v>97</v>
      </c>
      <c r="D7" s="42">
        <v>7200</v>
      </c>
      <c r="E7" s="57">
        <v>80</v>
      </c>
    </row>
    <row r="8" spans="2:5" x14ac:dyDescent="0.3">
      <c r="B8" s="40">
        <f t="shared" si="0"/>
        <v>0.72</v>
      </c>
      <c r="C8" s="41" t="s">
        <v>96</v>
      </c>
      <c r="D8" s="42">
        <v>8900</v>
      </c>
      <c r="E8" s="57">
        <v>120</v>
      </c>
    </row>
    <row r="9" spans="2:5" ht="15" thickBot="1" x14ac:dyDescent="0.35">
      <c r="B9" s="49">
        <f t="shared" si="0"/>
        <v>1.05</v>
      </c>
      <c r="C9" s="50" t="s">
        <v>95</v>
      </c>
      <c r="D9" s="51">
        <v>9800</v>
      </c>
      <c r="E9" s="59">
        <v>175</v>
      </c>
    </row>
    <row r="10" spans="2:5" x14ac:dyDescent="0.3">
      <c r="B10" s="25">
        <f>E10*24/4000</f>
        <v>6</v>
      </c>
      <c r="C10" s="26" t="s">
        <v>106</v>
      </c>
      <c r="D10" s="27">
        <v>19500</v>
      </c>
      <c r="E10" s="60">
        <v>1000</v>
      </c>
    </row>
    <row r="11" spans="2:5" x14ac:dyDescent="0.3">
      <c r="B11" s="16">
        <f t="shared" si="0"/>
        <v>12</v>
      </c>
      <c r="C11" s="17" t="s">
        <v>107</v>
      </c>
      <c r="D11" s="18">
        <v>33400</v>
      </c>
      <c r="E11" s="61">
        <v>2000</v>
      </c>
    </row>
    <row r="12" spans="2:5" x14ac:dyDescent="0.3">
      <c r="B12" s="16">
        <f t="shared" si="0"/>
        <v>18</v>
      </c>
      <c r="C12" s="17" t="s">
        <v>108</v>
      </c>
      <c r="D12" s="18">
        <v>46600</v>
      </c>
      <c r="E12" s="61">
        <v>3000</v>
      </c>
    </row>
    <row r="13" spans="2:5" x14ac:dyDescent="0.3">
      <c r="B13" s="16">
        <f t="shared" si="0"/>
        <v>24</v>
      </c>
      <c r="C13" s="17" t="s">
        <v>109</v>
      </c>
      <c r="D13" s="18">
        <v>57800</v>
      </c>
      <c r="E13" s="61">
        <v>4000</v>
      </c>
    </row>
    <row r="14" spans="2:5" x14ac:dyDescent="0.3">
      <c r="B14" s="16">
        <f t="shared" si="0"/>
        <v>30</v>
      </c>
      <c r="C14" s="17" t="s">
        <v>110</v>
      </c>
      <c r="D14" s="18">
        <v>70900</v>
      </c>
      <c r="E14" s="61">
        <v>5000</v>
      </c>
    </row>
    <row r="15" spans="2:5" x14ac:dyDescent="0.3">
      <c r="B15" s="16">
        <f t="shared" si="0"/>
        <v>36</v>
      </c>
      <c r="C15" s="17" t="s">
        <v>111</v>
      </c>
      <c r="D15" s="18">
        <v>83900</v>
      </c>
      <c r="E15" s="61">
        <v>6000</v>
      </c>
    </row>
    <row r="16" spans="2:5" x14ac:dyDescent="0.3">
      <c r="B16" s="16">
        <f t="shared" si="0"/>
        <v>42</v>
      </c>
      <c r="C16" s="17" t="s">
        <v>112</v>
      </c>
      <c r="D16" s="18">
        <v>95900</v>
      </c>
      <c r="E16" s="61">
        <v>7000</v>
      </c>
    </row>
    <row r="17" spans="2:5" ht="15" thickBot="1" x14ac:dyDescent="0.35">
      <c r="B17" s="30">
        <f t="shared" ref="B17:B22" si="1">E17*24/4000</f>
        <v>48</v>
      </c>
      <c r="C17" s="31" t="s">
        <v>113</v>
      </c>
      <c r="D17" s="32">
        <v>99000</v>
      </c>
      <c r="E17" s="62">
        <v>8000</v>
      </c>
    </row>
    <row r="18" spans="2:5" x14ac:dyDescent="0.3">
      <c r="B18" s="79">
        <f t="shared" si="1"/>
        <v>54</v>
      </c>
      <c r="C18" s="99" t="s">
        <v>223</v>
      </c>
      <c r="D18" s="6" t="str">
        <f>C18</f>
        <v>การุณาติดต่อเพิ่มสอบถามข้อมูลเพิ่มเติม</v>
      </c>
      <c r="E18" s="78">
        <v>9000</v>
      </c>
    </row>
    <row r="19" spans="2:5" x14ac:dyDescent="0.3">
      <c r="B19" s="79">
        <f t="shared" si="1"/>
        <v>60</v>
      </c>
      <c r="C19" s="99" t="s">
        <v>223</v>
      </c>
      <c r="D19" s="6" t="str">
        <f t="shared" ref="D19:D59" si="2">C19</f>
        <v>การุณาติดต่อเพิ่มสอบถามข้อมูลเพิ่มเติม</v>
      </c>
      <c r="E19" s="78">
        <v>10000</v>
      </c>
    </row>
    <row r="20" spans="2:5" x14ac:dyDescent="0.3">
      <c r="B20" s="79">
        <f t="shared" si="1"/>
        <v>66</v>
      </c>
      <c r="C20" s="99" t="s">
        <v>223</v>
      </c>
      <c r="D20" s="6" t="str">
        <f t="shared" si="2"/>
        <v>การุณาติดต่อเพิ่มสอบถามข้อมูลเพิ่มเติม</v>
      </c>
      <c r="E20" s="78">
        <v>11000</v>
      </c>
    </row>
    <row r="21" spans="2:5" x14ac:dyDescent="0.3">
      <c r="B21" s="79">
        <f t="shared" si="1"/>
        <v>72</v>
      </c>
      <c r="C21" s="99" t="s">
        <v>223</v>
      </c>
      <c r="D21" s="6" t="str">
        <f t="shared" si="2"/>
        <v>การุณาติดต่อเพิ่มสอบถามข้อมูลเพิ่มเติม</v>
      </c>
      <c r="E21" s="78">
        <v>12000</v>
      </c>
    </row>
    <row r="22" spans="2:5" x14ac:dyDescent="0.3">
      <c r="B22" s="79">
        <f t="shared" si="1"/>
        <v>78</v>
      </c>
      <c r="C22" s="99" t="s">
        <v>223</v>
      </c>
      <c r="D22" s="6" t="str">
        <f t="shared" si="2"/>
        <v>การุณาติดต่อเพิ่มสอบถามข้อมูลเพิ่มเติม</v>
      </c>
      <c r="E22" s="78">
        <v>13000</v>
      </c>
    </row>
    <row r="23" spans="2:5" x14ac:dyDescent="0.3">
      <c r="B23" s="79">
        <f t="shared" ref="B23:B30" si="3">E23*24/4000</f>
        <v>84</v>
      </c>
      <c r="C23" s="99" t="s">
        <v>223</v>
      </c>
      <c r="D23" s="6" t="str">
        <f t="shared" si="2"/>
        <v>การุณาติดต่อเพิ่มสอบถามข้อมูลเพิ่มเติม</v>
      </c>
      <c r="E23" s="78">
        <v>14000</v>
      </c>
    </row>
    <row r="24" spans="2:5" x14ac:dyDescent="0.3">
      <c r="B24" s="79">
        <f t="shared" si="3"/>
        <v>90</v>
      </c>
      <c r="C24" s="99" t="s">
        <v>223</v>
      </c>
      <c r="D24" s="6" t="str">
        <f t="shared" si="2"/>
        <v>การุณาติดต่อเพิ่มสอบถามข้อมูลเพิ่มเติม</v>
      </c>
      <c r="E24" s="78">
        <v>15000</v>
      </c>
    </row>
    <row r="25" spans="2:5" x14ac:dyDescent="0.3">
      <c r="B25" s="79">
        <f t="shared" si="3"/>
        <v>96</v>
      </c>
      <c r="C25" s="99" t="s">
        <v>223</v>
      </c>
      <c r="D25" s="6" t="str">
        <f t="shared" si="2"/>
        <v>การุณาติดต่อเพิ่มสอบถามข้อมูลเพิ่มเติม</v>
      </c>
      <c r="E25" s="78">
        <v>16000</v>
      </c>
    </row>
    <row r="26" spans="2:5" x14ac:dyDescent="0.3">
      <c r="B26" s="79">
        <f t="shared" si="3"/>
        <v>102</v>
      </c>
      <c r="C26" s="99" t="s">
        <v>223</v>
      </c>
      <c r="D26" s="6" t="str">
        <f t="shared" si="2"/>
        <v>การุณาติดต่อเพิ่มสอบถามข้อมูลเพิ่มเติม</v>
      </c>
      <c r="E26" s="78">
        <v>17000</v>
      </c>
    </row>
    <row r="27" spans="2:5" x14ac:dyDescent="0.3">
      <c r="B27" s="79">
        <f t="shared" si="3"/>
        <v>108</v>
      </c>
      <c r="C27" s="99" t="s">
        <v>223</v>
      </c>
      <c r="D27" s="6" t="str">
        <f t="shared" si="2"/>
        <v>การุณาติดต่อเพิ่มสอบถามข้อมูลเพิ่มเติม</v>
      </c>
      <c r="E27" s="78">
        <v>18000</v>
      </c>
    </row>
    <row r="28" spans="2:5" x14ac:dyDescent="0.3">
      <c r="B28" s="79">
        <f t="shared" si="3"/>
        <v>114</v>
      </c>
      <c r="C28" s="99" t="s">
        <v>223</v>
      </c>
      <c r="D28" s="6" t="str">
        <f t="shared" si="2"/>
        <v>การุณาติดต่อเพิ่มสอบถามข้อมูลเพิ่มเติม</v>
      </c>
      <c r="E28" s="78">
        <v>19000</v>
      </c>
    </row>
    <row r="29" spans="2:5" x14ac:dyDescent="0.3">
      <c r="B29" s="79">
        <f t="shared" si="3"/>
        <v>120</v>
      </c>
      <c r="C29" s="99" t="s">
        <v>223</v>
      </c>
      <c r="D29" s="6" t="str">
        <f t="shared" si="2"/>
        <v>การุณาติดต่อเพิ่มสอบถามข้อมูลเพิ่มเติม</v>
      </c>
      <c r="E29" s="78">
        <v>20000</v>
      </c>
    </row>
    <row r="30" spans="2:5" x14ac:dyDescent="0.3">
      <c r="B30" s="79">
        <f t="shared" si="3"/>
        <v>126</v>
      </c>
      <c r="C30" s="99" t="s">
        <v>223</v>
      </c>
      <c r="D30" s="6" t="str">
        <f t="shared" si="2"/>
        <v>การุณาติดต่อเพิ่มสอบถามข้อมูลเพิ่มเติม</v>
      </c>
      <c r="E30" s="78">
        <v>21000</v>
      </c>
    </row>
    <row r="31" spans="2:5" x14ac:dyDescent="0.3">
      <c r="B31" s="79">
        <f>E31*24/4000</f>
        <v>132</v>
      </c>
      <c r="C31" s="99" t="s">
        <v>223</v>
      </c>
      <c r="D31" s="6" t="str">
        <f t="shared" si="2"/>
        <v>การุณาติดต่อเพิ่มสอบถามข้อมูลเพิ่มเติม</v>
      </c>
      <c r="E31" s="78">
        <v>22000</v>
      </c>
    </row>
    <row r="32" spans="2:5" x14ac:dyDescent="0.3">
      <c r="B32" s="79">
        <f>E32*24/4000</f>
        <v>138</v>
      </c>
      <c r="C32" s="99" t="s">
        <v>223</v>
      </c>
      <c r="D32" s="6" t="str">
        <f t="shared" si="2"/>
        <v>การุณาติดต่อเพิ่มสอบถามข้อมูลเพิ่มเติม</v>
      </c>
      <c r="E32" s="78">
        <v>23000</v>
      </c>
    </row>
    <row r="33" spans="2:5" x14ac:dyDescent="0.3">
      <c r="B33" s="79">
        <f>E33*24/4000</f>
        <v>144</v>
      </c>
      <c r="C33" s="99" t="s">
        <v>223</v>
      </c>
      <c r="D33" s="6" t="str">
        <f t="shared" si="2"/>
        <v>การุณาติดต่อเพิ่มสอบถามข้อมูลเพิ่มเติม</v>
      </c>
      <c r="E33" s="78">
        <v>24000</v>
      </c>
    </row>
    <row r="34" spans="2:5" x14ac:dyDescent="0.3">
      <c r="B34" s="79">
        <f t="shared" ref="B34:B38" si="4">E34*24/4000</f>
        <v>150</v>
      </c>
      <c r="C34" s="99" t="s">
        <v>223</v>
      </c>
      <c r="D34" s="6" t="str">
        <f t="shared" si="2"/>
        <v>การุณาติดต่อเพิ่มสอบถามข้อมูลเพิ่มเติม</v>
      </c>
      <c r="E34" s="78">
        <v>25000</v>
      </c>
    </row>
    <row r="35" spans="2:5" x14ac:dyDescent="0.3">
      <c r="B35" s="79">
        <f t="shared" si="4"/>
        <v>156</v>
      </c>
      <c r="C35" s="99" t="s">
        <v>223</v>
      </c>
      <c r="D35" s="6" t="str">
        <f t="shared" si="2"/>
        <v>การุณาติดต่อเพิ่มสอบถามข้อมูลเพิ่มเติม</v>
      </c>
      <c r="E35" s="78">
        <v>26000</v>
      </c>
    </row>
    <row r="36" spans="2:5" x14ac:dyDescent="0.3">
      <c r="B36" s="79">
        <f t="shared" si="4"/>
        <v>162</v>
      </c>
      <c r="C36" s="99" t="s">
        <v>223</v>
      </c>
      <c r="D36" s="6" t="str">
        <f t="shared" si="2"/>
        <v>การุณาติดต่อเพิ่มสอบถามข้อมูลเพิ่มเติม</v>
      </c>
      <c r="E36" s="78">
        <v>27000</v>
      </c>
    </row>
    <row r="37" spans="2:5" x14ac:dyDescent="0.3">
      <c r="B37" s="79">
        <f t="shared" si="4"/>
        <v>168</v>
      </c>
      <c r="C37" s="99" t="s">
        <v>223</v>
      </c>
      <c r="D37" s="6" t="str">
        <f t="shared" si="2"/>
        <v>การุณาติดต่อเพิ่มสอบถามข้อมูลเพิ่มเติม</v>
      </c>
      <c r="E37" s="78">
        <v>28000</v>
      </c>
    </row>
    <row r="38" spans="2:5" x14ac:dyDescent="0.3">
      <c r="B38" s="79">
        <f t="shared" si="4"/>
        <v>174</v>
      </c>
      <c r="C38" s="99" t="s">
        <v>223</v>
      </c>
      <c r="D38" s="6" t="str">
        <f t="shared" si="2"/>
        <v>การุณาติดต่อเพิ่มสอบถามข้อมูลเพิ่มเติม</v>
      </c>
      <c r="E38" s="78">
        <v>29000</v>
      </c>
    </row>
    <row r="39" spans="2:5" x14ac:dyDescent="0.3">
      <c r="B39" s="79">
        <f t="shared" ref="B39:B45" si="5">E39*24/4000</f>
        <v>180</v>
      </c>
      <c r="C39" s="99" t="s">
        <v>223</v>
      </c>
      <c r="D39" s="6" t="str">
        <f t="shared" si="2"/>
        <v>การุณาติดต่อเพิ่มสอบถามข้อมูลเพิ่มเติม</v>
      </c>
      <c r="E39" s="78">
        <v>30000</v>
      </c>
    </row>
    <row r="40" spans="2:5" x14ac:dyDescent="0.3">
      <c r="B40" s="79">
        <f t="shared" si="5"/>
        <v>186</v>
      </c>
      <c r="C40" s="99" t="s">
        <v>223</v>
      </c>
      <c r="D40" s="6" t="str">
        <f t="shared" si="2"/>
        <v>การุณาติดต่อเพิ่มสอบถามข้อมูลเพิ่มเติม</v>
      </c>
      <c r="E40" s="78">
        <v>31000</v>
      </c>
    </row>
    <row r="41" spans="2:5" x14ac:dyDescent="0.3">
      <c r="B41" s="79">
        <f t="shared" si="5"/>
        <v>192</v>
      </c>
      <c r="C41" s="99" t="s">
        <v>223</v>
      </c>
      <c r="D41" s="6" t="str">
        <f t="shared" si="2"/>
        <v>การุณาติดต่อเพิ่มสอบถามข้อมูลเพิ่มเติม</v>
      </c>
      <c r="E41" s="78">
        <v>32000</v>
      </c>
    </row>
    <row r="42" spans="2:5" x14ac:dyDescent="0.3">
      <c r="B42" s="79">
        <f t="shared" si="5"/>
        <v>198</v>
      </c>
      <c r="C42" s="99" t="s">
        <v>223</v>
      </c>
      <c r="D42" s="6" t="str">
        <f t="shared" si="2"/>
        <v>การุณาติดต่อเพิ่มสอบถามข้อมูลเพิ่มเติม</v>
      </c>
      <c r="E42" s="78">
        <v>33000</v>
      </c>
    </row>
    <row r="43" spans="2:5" x14ac:dyDescent="0.3">
      <c r="B43" s="79">
        <f t="shared" si="5"/>
        <v>204</v>
      </c>
      <c r="C43" s="99" t="s">
        <v>223</v>
      </c>
      <c r="D43" s="6" t="str">
        <f t="shared" si="2"/>
        <v>การุณาติดต่อเพิ่มสอบถามข้อมูลเพิ่มเติม</v>
      </c>
      <c r="E43" s="78">
        <v>34000</v>
      </c>
    </row>
    <row r="44" spans="2:5" x14ac:dyDescent="0.3">
      <c r="B44" s="79">
        <f t="shared" si="5"/>
        <v>210</v>
      </c>
      <c r="C44" s="99" t="s">
        <v>223</v>
      </c>
      <c r="D44" s="6" t="str">
        <f t="shared" si="2"/>
        <v>การุณาติดต่อเพิ่มสอบถามข้อมูลเพิ่มเติม</v>
      </c>
      <c r="E44" s="78">
        <v>35000</v>
      </c>
    </row>
    <row r="45" spans="2:5" x14ac:dyDescent="0.3">
      <c r="B45" s="79">
        <f t="shared" si="5"/>
        <v>216</v>
      </c>
      <c r="C45" s="99" t="s">
        <v>223</v>
      </c>
      <c r="D45" s="6" t="str">
        <f t="shared" si="2"/>
        <v>การุณาติดต่อเพิ่มสอบถามข้อมูลเพิ่มเติม</v>
      </c>
      <c r="E45" s="78">
        <v>36000</v>
      </c>
    </row>
    <row r="46" spans="2:5" x14ac:dyDescent="0.3">
      <c r="B46" s="79">
        <f t="shared" ref="B46:B52" si="6">E46*24/4000</f>
        <v>222</v>
      </c>
      <c r="C46" s="99" t="s">
        <v>223</v>
      </c>
      <c r="D46" s="6" t="str">
        <f t="shared" si="2"/>
        <v>การุณาติดต่อเพิ่มสอบถามข้อมูลเพิ่มเติม</v>
      </c>
      <c r="E46" s="78">
        <v>37000</v>
      </c>
    </row>
    <row r="47" spans="2:5" x14ac:dyDescent="0.3">
      <c r="B47" s="79">
        <f t="shared" si="6"/>
        <v>228</v>
      </c>
      <c r="C47" s="99" t="s">
        <v>223</v>
      </c>
      <c r="D47" s="6" t="str">
        <f t="shared" si="2"/>
        <v>การุณาติดต่อเพิ่มสอบถามข้อมูลเพิ่มเติม</v>
      </c>
      <c r="E47" s="78">
        <v>38000</v>
      </c>
    </row>
    <row r="48" spans="2:5" x14ac:dyDescent="0.3">
      <c r="B48" s="79">
        <f t="shared" si="6"/>
        <v>234</v>
      </c>
      <c r="C48" s="99" t="s">
        <v>223</v>
      </c>
      <c r="D48" s="6" t="str">
        <f t="shared" si="2"/>
        <v>การุณาติดต่อเพิ่มสอบถามข้อมูลเพิ่มเติม</v>
      </c>
      <c r="E48" s="78">
        <v>39000</v>
      </c>
    </row>
    <row r="49" spans="2:5" x14ac:dyDescent="0.3">
      <c r="B49" s="79">
        <f t="shared" si="6"/>
        <v>240</v>
      </c>
      <c r="C49" s="99" t="s">
        <v>223</v>
      </c>
      <c r="D49" s="6" t="str">
        <f t="shared" si="2"/>
        <v>การุณาติดต่อเพิ่มสอบถามข้อมูลเพิ่มเติม</v>
      </c>
      <c r="E49" s="78">
        <v>40000</v>
      </c>
    </row>
    <row r="50" spans="2:5" x14ac:dyDescent="0.3">
      <c r="B50" s="79">
        <f t="shared" si="6"/>
        <v>246</v>
      </c>
      <c r="C50" s="99" t="s">
        <v>223</v>
      </c>
      <c r="D50" s="6" t="str">
        <f t="shared" si="2"/>
        <v>การุณาติดต่อเพิ่มสอบถามข้อมูลเพิ่มเติม</v>
      </c>
      <c r="E50" s="78">
        <v>41000</v>
      </c>
    </row>
    <row r="51" spans="2:5" x14ac:dyDescent="0.3">
      <c r="B51" s="79">
        <f t="shared" si="6"/>
        <v>252</v>
      </c>
      <c r="C51" s="99" t="s">
        <v>223</v>
      </c>
      <c r="D51" s="6" t="str">
        <f t="shared" si="2"/>
        <v>การุณาติดต่อเพิ่มสอบถามข้อมูลเพิ่มเติม</v>
      </c>
      <c r="E51" s="78">
        <v>42000</v>
      </c>
    </row>
    <row r="52" spans="2:5" x14ac:dyDescent="0.3">
      <c r="B52" s="79">
        <f t="shared" si="6"/>
        <v>258</v>
      </c>
      <c r="C52" s="99" t="s">
        <v>223</v>
      </c>
      <c r="D52" s="6" t="str">
        <f t="shared" si="2"/>
        <v>การุณาติดต่อเพิ่มสอบถามข้อมูลเพิ่มเติม</v>
      </c>
      <c r="E52" s="78">
        <v>43000</v>
      </c>
    </row>
    <row r="53" spans="2:5" x14ac:dyDescent="0.3">
      <c r="B53" s="79">
        <f t="shared" ref="B53:B56" si="7">E53*24/4000</f>
        <v>264</v>
      </c>
      <c r="C53" s="99" t="s">
        <v>223</v>
      </c>
      <c r="D53" s="6" t="str">
        <f t="shared" si="2"/>
        <v>การุณาติดต่อเพิ่มสอบถามข้อมูลเพิ่มเติม</v>
      </c>
      <c r="E53" s="78">
        <v>44000</v>
      </c>
    </row>
    <row r="54" spans="2:5" x14ac:dyDescent="0.3">
      <c r="B54" s="79">
        <f t="shared" si="7"/>
        <v>270</v>
      </c>
      <c r="C54" s="99" t="s">
        <v>223</v>
      </c>
      <c r="D54" s="6" t="str">
        <f t="shared" si="2"/>
        <v>การุณาติดต่อเพิ่มสอบถามข้อมูลเพิ่มเติม</v>
      </c>
      <c r="E54" s="78">
        <v>45000</v>
      </c>
    </row>
    <row r="55" spans="2:5" x14ac:dyDescent="0.3">
      <c r="B55" s="79">
        <f t="shared" si="7"/>
        <v>276</v>
      </c>
      <c r="C55" s="99" t="s">
        <v>223</v>
      </c>
      <c r="D55" s="6" t="str">
        <f t="shared" si="2"/>
        <v>การุณาติดต่อเพิ่มสอบถามข้อมูลเพิ่มเติม</v>
      </c>
      <c r="E55" s="78">
        <v>46000</v>
      </c>
    </row>
    <row r="56" spans="2:5" x14ac:dyDescent="0.3">
      <c r="B56" s="79">
        <f t="shared" si="7"/>
        <v>282</v>
      </c>
      <c r="C56" s="99" t="s">
        <v>223</v>
      </c>
      <c r="D56" s="6" t="str">
        <f t="shared" si="2"/>
        <v>การุณาติดต่อเพิ่มสอบถามข้อมูลเพิ่มเติม</v>
      </c>
      <c r="E56" s="78">
        <v>47000</v>
      </c>
    </row>
    <row r="57" spans="2:5" x14ac:dyDescent="0.3">
      <c r="B57" s="79">
        <f t="shared" ref="B57:B59" si="8">E57*24/4000</f>
        <v>288</v>
      </c>
      <c r="C57" s="99" t="s">
        <v>223</v>
      </c>
      <c r="D57" s="6" t="str">
        <f t="shared" si="2"/>
        <v>การุณาติดต่อเพิ่มสอบถามข้อมูลเพิ่มเติม</v>
      </c>
      <c r="E57" s="78">
        <v>48000</v>
      </c>
    </row>
    <row r="58" spans="2:5" x14ac:dyDescent="0.3">
      <c r="B58" s="79">
        <f t="shared" si="8"/>
        <v>294</v>
      </c>
      <c r="C58" s="99" t="s">
        <v>223</v>
      </c>
      <c r="D58" s="6" t="str">
        <f t="shared" si="2"/>
        <v>การุณาติดต่อเพิ่มสอบถามข้อมูลเพิ่มเติม</v>
      </c>
      <c r="E58" s="78">
        <v>49000</v>
      </c>
    </row>
    <row r="59" spans="2:5" x14ac:dyDescent="0.3">
      <c r="B59" s="79">
        <f t="shared" si="8"/>
        <v>300</v>
      </c>
      <c r="C59" s="99" t="s">
        <v>223</v>
      </c>
      <c r="D59" s="6" t="str">
        <f t="shared" si="2"/>
        <v>การุณาติดต่อเพิ่มสอบถามข้อมูลเพิ่มเติม</v>
      </c>
      <c r="E59" s="78">
        <v>50000</v>
      </c>
    </row>
  </sheetData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AB9E-4068-40B5-95AF-A1C5E57B1E12}">
  <dimension ref="B2:H28"/>
  <sheetViews>
    <sheetView workbookViewId="0">
      <selection activeCell="D17" sqref="D17"/>
    </sheetView>
  </sheetViews>
  <sheetFormatPr defaultRowHeight="14.4" x14ac:dyDescent="0.3"/>
  <cols>
    <col min="1" max="1" width="2.6640625" customWidth="1"/>
    <col min="2" max="2" width="10.77734375" bestFit="1" customWidth="1"/>
    <col min="3" max="3" width="10.88671875" bestFit="1" customWidth="1"/>
    <col min="4" max="4" width="7.21875" bestFit="1" customWidth="1"/>
    <col min="5" max="5" width="9.88671875" bestFit="1" customWidth="1"/>
    <col min="6" max="6" width="6" bestFit="1" customWidth="1"/>
    <col min="7" max="7" width="8.6640625" style="1" bestFit="1" customWidth="1"/>
    <col min="8" max="8" width="16.109375" bestFit="1" customWidth="1"/>
  </cols>
  <sheetData>
    <row r="2" spans="2:8" x14ac:dyDescent="0.3">
      <c r="B2" s="121" t="s">
        <v>177</v>
      </c>
      <c r="C2" s="121" t="s">
        <v>182</v>
      </c>
      <c r="D2" s="89" t="s">
        <v>179</v>
      </c>
      <c r="E2" s="89" t="s">
        <v>181</v>
      </c>
      <c r="F2" t="s">
        <v>207</v>
      </c>
      <c r="G2" s="1" t="s">
        <v>43</v>
      </c>
    </row>
    <row r="3" spans="2:8" x14ac:dyDescent="0.3">
      <c r="B3" s="118" t="s">
        <v>178</v>
      </c>
      <c r="C3" s="118" t="s">
        <v>183</v>
      </c>
      <c r="D3" s="120" t="s">
        <v>180</v>
      </c>
      <c r="E3" s="89">
        <v>0.04</v>
      </c>
      <c r="F3" s="111">
        <v>3.5000000000000003E-2</v>
      </c>
      <c r="G3" s="1">
        <v>4500</v>
      </c>
      <c r="H3" s="139" t="s">
        <v>208</v>
      </c>
    </row>
    <row r="4" spans="2:8" x14ac:dyDescent="0.3">
      <c r="B4" s="118" t="s">
        <v>178</v>
      </c>
      <c r="C4" s="118" t="s">
        <v>184</v>
      </c>
      <c r="D4" s="120" t="s">
        <v>180</v>
      </c>
      <c r="E4" s="89">
        <v>0.05</v>
      </c>
      <c r="F4" s="111">
        <v>0.05</v>
      </c>
      <c r="G4" s="1">
        <v>4500</v>
      </c>
      <c r="H4" s="139"/>
    </row>
    <row r="5" spans="2:8" x14ac:dyDescent="0.3">
      <c r="B5" s="118" t="s">
        <v>178</v>
      </c>
      <c r="C5" s="118" t="s">
        <v>185</v>
      </c>
      <c r="D5" s="120" t="s">
        <v>180</v>
      </c>
      <c r="E5" s="89">
        <v>0.06</v>
      </c>
      <c r="F5" s="111">
        <v>6.5000000000000002E-2</v>
      </c>
      <c r="G5" s="1">
        <v>5000</v>
      </c>
      <c r="H5" s="139"/>
    </row>
    <row r="6" spans="2:8" x14ac:dyDescent="0.3">
      <c r="B6" s="118" t="s">
        <v>178</v>
      </c>
      <c r="C6" s="118" t="s">
        <v>186</v>
      </c>
      <c r="D6" s="120" t="s">
        <v>180</v>
      </c>
      <c r="E6" s="122">
        <v>0.08</v>
      </c>
      <c r="F6" s="111">
        <v>0.08</v>
      </c>
      <c r="G6" s="1">
        <v>6500</v>
      </c>
      <c r="H6" s="139"/>
    </row>
    <row r="7" spans="2:8" x14ac:dyDescent="0.3">
      <c r="B7" s="118" t="s">
        <v>178</v>
      </c>
      <c r="C7" s="118" t="s">
        <v>187</v>
      </c>
      <c r="D7" s="120" t="s">
        <v>180</v>
      </c>
      <c r="E7" s="122">
        <v>0.1</v>
      </c>
      <c r="F7" s="111">
        <v>0.11</v>
      </c>
      <c r="G7" s="1">
        <v>7500</v>
      </c>
      <c r="H7" s="139"/>
    </row>
    <row r="8" spans="2:8" x14ac:dyDescent="0.3">
      <c r="B8" s="118" t="s">
        <v>178</v>
      </c>
      <c r="C8" s="118" t="s">
        <v>188</v>
      </c>
      <c r="D8" s="120" t="s">
        <v>180</v>
      </c>
      <c r="E8" s="122">
        <v>0.12</v>
      </c>
      <c r="F8" s="111">
        <v>0.11</v>
      </c>
      <c r="G8" s="1">
        <v>10500</v>
      </c>
      <c r="H8" s="139"/>
    </row>
    <row r="9" spans="2:8" x14ac:dyDescent="0.3">
      <c r="B9" s="118" t="s">
        <v>178</v>
      </c>
      <c r="C9" s="118" t="s">
        <v>189</v>
      </c>
      <c r="D9" s="120" t="s">
        <v>180</v>
      </c>
      <c r="E9" s="122">
        <v>0.15</v>
      </c>
      <c r="F9" s="111">
        <v>0.14000000000000001</v>
      </c>
      <c r="G9" s="1">
        <v>12500</v>
      </c>
      <c r="H9" s="139"/>
    </row>
    <row r="10" spans="2:8" x14ac:dyDescent="0.3">
      <c r="B10" s="119" t="s">
        <v>178</v>
      </c>
      <c r="C10" s="117" t="s">
        <v>190</v>
      </c>
      <c r="D10" s="117" t="s">
        <v>180</v>
      </c>
      <c r="E10" s="123">
        <v>0.2</v>
      </c>
      <c r="F10" s="111">
        <v>0.2</v>
      </c>
      <c r="G10" s="1">
        <v>14000</v>
      </c>
      <c r="H10" s="139"/>
    </row>
    <row r="11" spans="2:8" x14ac:dyDescent="0.3">
      <c r="B11" s="118" t="s">
        <v>191</v>
      </c>
      <c r="C11" s="120" t="s">
        <v>200</v>
      </c>
      <c r="D11" s="120" t="s">
        <v>192</v>
      </c>
      <c r="E11" s="89">
        <v>0.36</v>
      </c>
      <c r="F11">
        <v>0.75</v>
      </c>
      <c r="G11" s="1">
        <v>30000</v>
      </c>
      <c r="H11" s="139"/>
    </row>
    <row r="12" spans="2:8" x14ac:dyDescent="0.3">
      <c r="B12" s="118" t="s">
        <v>191</v>
      </c>
      <c r="C12" s="120" t="s">
        <v>200</v>
      </c>
      <c r="D12" s="120" t="s">
        <v>192</v>
      </c>
      <c r="E12" s="89">
        <v>0.56000000000000005</v>
      </c>
      <c r="F12">
        <v>0.75</v>
      </c>
      <c r="G12" s="1">
        <v>30000</v>
      </c>
      <c r="H12" s="139"/>
    </row>
    <row r="13" spans="2:8" x14ac:dyDescent="0.3">
      <c r="B13" s="118" t="s">
        <v>191</v>
      </c>
      <c r="C13" s="120" t="s">
        <v>200</v>
      </c>
      <c r="D13" s="120" t="s">
        <v>192</v>
      </c>
      <c r="E13" s="89">
        <v>0.75</v>
      </c>
      <c r="F13">
        <v>0.75</v>
      </c>
      <c r="G13" s="1">
        <v>30000</v>
      </c>
      <c r="H13" s="139"/>
    </row>
    <row r="14" spans="2:8" x14ac:dyDescent="0.3">
      <c r="B14" s="118" t="s">
        <v>191</v>
      </c>
      <c r="C14" s="120" t="s">
        <v>200</v>
      </c>
      <c r="D14" s="120" t="s">
        <v>192</v>
      </c>
      <c r="E14" s="89">
        <v>0.95</v>
      </c>
      <c r="F14">
        <v>1.5</v>
      </c>
      <c r="G14" s="1">
        <v>35000</v>
      </c>
      <c r="H14" s="139"/>
    </row>
    <row r="15" spans="2:8" x14ac:dyDescent="0.3">
      <c r="B15" s="118" t="s">
        <v>191</v>
      </c>
      <c r="C15" s="120" t="s">
        <v>201</v>
      </c>
      <c r="D15" s="120" t="s">
        <v>192</v>
      </c>
      <c r="E15" s="89">
        <v>1.05</v>
      </c>
      <c r="F15">
        <v>1.5</v>
      </c>
      <c r="G15" s="1">
        <f ca="1">Table14[[#This Row],[Price]]/0.7</f>
        <v>50000</v>
      </c>
      <c r="H15" s="139"/>
    </row>
    <row r="16" spans="2:8" x14ac:dyDescent="0.3">
      <c r="B16" s="118" t="s">
        <v>191</v>
      </c>
      <c r="C16" s="120" t="s">
        <v>201</v>
      </c>
      <c r="D16" s="120" t="s">
        <v>192</v>
      </c>
      <c r="E16" s="122">
        <v>1.2</v>
      </c>
      <c r="F16">
        <v>1.5</v>
      </c>
      <c r="G16" s="1">
        <f ca="1">Table14[[#This Row],[Price]]/0.7</f>
        <v>50000</v>
      </c>
      <c r="H16" s="139"/>
    </row>
    <row r="17" spans="2:8" x14ac:dyDescent="0.3">
      <c r="B17" s="118" t="s">
        <v>191</v>
      </c>
      <c r="C17" s="120" t="s">
        <v>201</v>
      </c>
      <c r="D17" s="120" t="s">
        <v>192</v>
      </c>
      <c r="E17" s="122">
        <v>1.34</v>
      </c>
      <c r="F17">
        <v>1.5</v>
      </c>
      <c r="G17" s="1">
        <f ca="1">Table14[[#This Row],[Price]]/0.7</f>
        <v>50000</v>
      </c>
      <c r="H17" s="139"/>
    </row>
    <row r="18" spans="2:8" x14ac:dyDescent="0.3">
      <c r="B18" s="118" t="s">
        <v>191</v>
      </c>
      <c r="C18" s="120" t="s">
        <v>202</v>
      </c>
      <c r="D18" s="120" t="s">
        <v>192</v>
      </c>
      <c r="E18" s="122">
        <v>1.4</v>
      </c>
      <c r="F18">
        <v>1.5</v>
      </c>
      <c r="G18" s="1">
        <f ca="1">Table14[[#This Row],[Price]]/0.7</f>
        <v>50000</v>
      </c>
      <c r="H18" s="139"/>
    </row>
    <row r="19" spans="2:8" x14ac:dyDescent="0.3">
      <c r="B19" s="118" t="s">
        <v>191</v>
      </c>
      <c r="C19" s="120" t="s">
        <v>202</v>
      </c>
      <c r="D19" s="120" t="s">
        <v>192</v>
      </c>
      <c r="E19" s="122">
        <v>1.65</v>
      </c>
      <c r="F19">
        <v>1.5</v>
      </c>
      <c r="G19" s="1">
        <f ca="1">Table14[[#This Row],[Price]]/0.7</f>
        <v>50000</v>
      </c>
      <c r="H19" s="139"/>
    </row>
    <row r="20" spans="2:8" x14ac:dyDescent="0.3">
      <c r="B20" s="118" t="s">
        <v>191</v>
      </c>
      <c r="C20" s="120" t="s">
        <v>202</v>
      </c>
      <c r="D20" s="120" t="s">
        <v>192</v>
      </c>
      <c r="E20" s="89">
        <v>1.89</v>
      </c>
      <c r="F20">
        <v>1.5</v>
      </c>
      <c r="G20" s="1">
        <f ca="1">Table14[[#This Row],[Price]]/0.7</f>
        <v>50000</v>
      </c>
      <c r="H20" s="139"/>
    </row>
    <row r="21" spans="2:8" x14ac:dyDescent="0.3">
      <c r="B21" s="118" t="s">
        <v>191</v>
      </c>
      <c r="C21" s="120" t="s">
        <v>202</v>
      </c>
      <c r="D21" s="120" t="s">
        <v>192</v>
      </c>
      <c r="E21" s="89">
        <v>2.0699999999999998</v>
      </c>
      <c r="F21">
        <v>1.5</v>
      </c>
      <c r="G21" s="1">
        <f ca="1">Table14[[#This Row],[Price]]/0.7</f>
        <v>50000</v>
      </c>
      <c r="H21" s="139"/>
    </row>
    <row r="22" spans="2:8" x14ac:dyDescent="0.3">
      <c r="B22" s="118" t="s">
        <v>191</v>
      </c>
      <c r="C22" s="120" t="s">
        <v>202</v>
      </c>
      <c r="D22" s="120" t="s">
        <v>192</v>
      </c>
      <c r="E22" s="89">
        <v>2.21</v>
      </c>
      <c r="F22">
        <v>2.2000000000000002</v>
      </c>
      <c r="G22" s="1">
        <f ca="1">Table14[[#This Row],[Price]]/0.7</f>
        <v>50000</v>
      </c>
      <c r="H22" s="139"/>
    </row>
    <row r="23" spans="2:8" x14ac:dyDescent="0.3">
      <c r="B23" s="118" t="s">
        <v>191</v>
      </c>
      <c r="C23" s="120" t="s">
        <v>202</v>
      </c>
      <c r="D23" s="120" t="s">
        <v>192</v>
      </c>
      <c r="E23" s="89">
        <v>2.42</v>
      </c>
      <c r="F23">
        <v>2.2000000000000002</v>
      </c>
      <c r="G23" s="1">
        <f ca="1">Table14[[#This Row],[Price]]/0.7</f>
        <v>50000</v>
      </c>
      <c r="H23" s="139"/>
    </row>
    <row r="24" spans="2:8" x14ac:dyDescent="0.3">
      <c r="B24" s="118" t="s">
        <v>191</v>
      </c>
      <c r="C24" s="120" t="s">
        <v>202</v>
      </c>
      <c r="D24" s="120" t="s">
        <v>192</v>
      </c>
      <c r="E24" s="89">
        <v>2.62</v>
      </c>
      <c r="F24">
        <v>2.2000000000000002</v>
      </c>
      <c r="G24" s="1">
        <f ca="1">Table14[[#This Row],[Price]]/0.7</f>
        <v>50000</v>
      </c>
      <c r="H24" s="139"/>
    </row>
    <row r="25" spans="2:8" x14ac:dyDescent="0.3">
      <c r="B25" s="118" t="s">
        <v>191</v>
      </c>
      <c r="C25" s="120" t="s">
        <v>202</v>
      </c>
      <c r="D25" s="120" t="s">
        <v>192</v>
      </c>
      <c r="E25" s="89">
        <v>2.78</v>
      </c>
      <c r="F25">
        <v>2.2000000000000002</v>
      </c>
      <c r="G25" s="1">
        <f ca="1">Table14[[#This Row],[Price]]/0.7</f>
        <v>50000</v>
      </c>
      <c r="H25" s="139"/>
    </row>
    <row r="26" spans="2:8" x14ac:dyDescent="0.3">
      <c r="B26" s="118" t="s">
        <v>191</v>
      </c>
      <c r="C26" s="120" t="s">
        <v>209</v>
      </c>
      <c r="D26" s="120" t="s">
        <v>192</v>
      </c>
      <c r="E26" s="89">
        <v>2.84</v>
      </c>
      <c r="F26">
        <v>2.2000000000000002</v>
      </c>
      <c r="G26" s="1">
        <f ca="1">Table14[[#This Row],[Price]]/0.7</f>
        <v>50000</v>
      </c>
      <c r="H26" s="139"/>
    </row>
    <row r="27" spans="2:8" x14ac:dyDescent="0.3">
      <c r="B27" s="129"/>
      <c r="C27" s="100"/>
    </row>
    <row r="28" spans="2:8" x14ac:dyDescent="0.3">
      <c r="B28" s="80"/>
    </row>
  </sheetData>
  <mergeCells count="1">
    <mergeCell ref="H3:H26"/>
  </mergeCells>
  <phoneticPr fontId="7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FRONT</vt:lpstr>
      <vt:lpstr>CAL</vt:lpstr>
      <vt:lpstr>WASTE_DATA</vt:lpstr>
      <vt:lpstr>Product_AT</vt:lpstr>
      <vt:lpstr>Product_AN</vt:lpstr>
      <vt:lpstr>Product_GT</vt:lpstr>
      <vt:lpstr>Product_AP-AB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Proud Asia</dc:creator>
  <cp:lastModifiedBy>Proud Asia</cp:lastModifiedBy>
  <dcterms:created xsi:type="dcterms:W3CDTF">2020-05-04T03:13:14Z</dcterms:created>
  <dcterms:modified xsi:type="dcterms:W3CDTF">2020-05-18T02:06:39Z</dcterms:modified>
</cp:coreProperties>
</file>